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40" windowHeight="5595" tabRatio="601" activeTab="0"/>
  </bookViews>
  <sheets>
    <sheet name="Tobacco 2002-2019" sheetId="1" r:id="rId1"/>
    <sheet name="Tobacco Monthly" sheetId="2" r:id="rId2"/>
    <sheet name="Tobacco Yearly" sheetId="3" r:id="rId3"/>
  </sheets>
  <definedNames/>
  <calcPr fullCalcOnLoad="1"/>
</workbook>
</file>

<file path=xl/sharedStrings.xml><?xml version="1.0" encoding="utf-8"?>
<sst xmlns="http://schemas.openxmlformats.org/spreadsheetml/2006/main" count="372" uniqueCount="71">
  <si>
    <t>Source: Régie des Tabacs</t>
  </si>
  <si>
    <t>المصدر: إدارة حصر التبغ والتنباك اللبنانية</t>
  </si>
  <si>
    <t>Production mensuelle de Tabac / Monthly Production of Tobacco / إنتاج التبغ الشهري</t>
  </si>
  <si>
    <t>Aajami / تنباك عجمي</t>
  </si>
  <si>
    <t>Mouassal / تنباك معسل</t>
  </si>
  <si>
    <t>Cigarillos / سيجاريللوس</t>
  </si>
  <si>
    <t>Produits locaux / Local products / المنتجات المحلية</t>
  </si>
  <si>
    <t>Production. Tonnes / Production. Tonnes / الإنتاج. طن</t>
  </si>
  <si>
    <t>Ventes. Tonnes / Sales. Tonnes / المبيع. طن</t>
  </si>
  <si>
    <t>Valeur. Millions USD / Value. Million USD / القيمة. مليون دولار</t>
  </si>
  <si>
    <t>Produits importés / Imported products / المنتجات الأجنبية</t>
  </si>
  <si>
    <t>Sous-Total / Subtotal المجموع الفرعي</t>
  </si>
  <si>
    <t>Total général des ventes. Tonnes / General total of sales. Tonnes / مجموع المبيعات العام. طن</t>
  </si>
  <si>
    <t>Total général. Millions USD / General total. Million USD / المجموع العام. مليون دولار</t>
  </si>
  <si>
    <t>Tombacs / Tobacco / تنباك</t>
  </si>
  <si>
    <t>Cigarettes / Cigarettes / سجائر</t>
  </si>
  <si>
    <t>Cigares / Cigars / سيجار</t>
  </si>
  <si>
    <t>Tabacs de pipe / Pipe tobacco / تبغ غليون</t>
  </si>
  <si>
    <t>Source: Régie des Tabacs / المصدر إدارة حصر التبغ والتنباك اللبنانية</t>
  </si>
  <si>
    <t>TVA non imputée / VAT not included / الضريبة على القيمة المضافة غير مضافة</t>
  </si>
  <si>
    <t>Taux de TVA: 10.718% / VAT rate: 10.718% / نسبة الضريبة على القيمة المضافة : 10.718في المئة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</si>
  <si>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</si>
  <si>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</si>
  <si>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</si>
  <si>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</si>
  <si>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</si>
  <si>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</si>
  <si>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</si>
  <si>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</si>
  <si>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</si>
  <si>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</si>
  <si>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</si>
  <si>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</si>
  <si>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 xml:space="preserve"> Total 2002  / مجموع 2002</t>
  </si>
  <si>
    <t xml:space="preserve"> Total 2003  / مجموع 2003</t>
  </si>
  <si>
    <t xml:space="preserve"> Total 2004  / مجموع 2004</t>
  </si>
  <si>
    <t xml:space="preserve"> Total 2019  / مجموع 2019</t>
  </si>
  <si>
    <t xml:space="preserve"> Total 2018  / مجموع 2018</t>
  </si>
  <si>
    <t xml:space="preserve"> Total 2017  / مجموع 2017</t>
  </si>
  <si>
    <t xml:space="preserve"> Total 2016  / مجموع 2016</t>
  </si>
  <si>
    <t xml:space="preserve"> Total 2014  / مجموع 2014</t>
  </si>
  <si>
    <t xml:space="preserve"> Total 2015  / مجموع 2015</t>
  </si>
  <si>
    <t xml:space="preserve"> Total 2013  / مجموع 2013</t>
  </si>
  <si>
    <t xml:space="preserve"> Total 2012  / مجموع 2012</t>
  </si>
  <si>
    <t xml:space="preserve"> Total 2011  / مجموع 2011</t>
  </si>
  <si>
    <t xml:space="preserve"> Total 2010  / مجموع 2010</t>
  </si>
  <si>
    <t xml:space="preserve"> Total 2009 / مجموع 2009</t>
  </si>
  <si>
    <t xml:space="preserve"> Total 2008  / مجموع 2008</t>
  </si>
  <si>
    <t xml:space="preserve"> Total 2007  / مجموع 2007</t>
  </si>
  <si>
    <t xml:space="preserve"> Total 2006  / مجموع 2006</t>
  </si>
  <si>
    <t xml:space="preserve"> Total 2005  / مجموع 2005</t>
  </si>
  <si>
    <t>Production annuelle de tabac / Yearly Production of Tobacco / إنتاج التبغ السنوي</t>
  </si>
  <si>
    <t>Production annuelle de tabac. Variation annuelle en % / Yearly Production of Tobacco. Yearly change in % / إنتاج التبغ السنوي. التغير السنوي بالنسبة المئوية</t>
  </si>
  <si>
    <t>2003/2002.%</t>
  </si>
  <si>
    <t>2004/2003.%</t>
  </si>
  <si>
    <t>2005/2004.%</t>
  </si>
  <si>
    <t>2006/2005.%</t>
  </si>
  <si>
    <t>2007/2006.%</t>
  </si>
  <si>
    <t>2008/2007.%</t>
  </si>
  <si>
    <t>2009/2008.%</t>
  </si>
  <si>
    <t>2010/2009.%</t>
  </si>
  <si>
    <t>2011/2010.%</t>
  </si>
  <si>
    <t>2012/2011.%</t>
  </si>
  <si>
    <t>2013/2012.%</t>
  </si>
  <si>
    <t>2014/2013.%</t>
  </si>
  <si>
    <t>2015/2014.%</t>
  </si>
  <si>
    <t>2016/2015.%</t>
  </si>
  <si>
    <t>2017/2016.%</t>
  </si>
  <si>
    <t>2018/2017.%</t>
  </si>
  <si>
    <t>Régie des Tabacs 2002-2019</t>
  </si>
  <si>
    <t>إدارة حصر التبغ والتنباك 2002-2019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</si>
</sst>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  <numFmt numFmtId="222" formatCode="0.0000000000"/>
  </numFmts>
  <fonts count="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43" fontId="9" fillId="0" borderId="10" xfId="42" applyNumberFormat="1" applyFont="1" applyFill="1" applyBorder="1" applyAlignment="1">
      <alignment horizontal="right" vertical="center" wrapText="1" readingOrder="1"/>
    </xf>
    <xf numFmtId="43" fontId="9" fillId="0" borderId="11" xfId="42" applyNumberFormat="1" applyFont="1" applyFill="1" applyBorder="1" applyAlignment="1">
      <alignment horizontal="right" vertical="center" wrapText="1" readingOrder="1"/>
    </xf>
    <xf numFmtId="0" fontId="12" fillId="0" borderId="12" xfId="0" applyFont="1" applyFill="1" applyBorder="1" applyAlignment="1">
      <alignment vertical="center" wrapText="1" readingOrder="1"/>
    </xf>
    <xf numFmtId="43" fontId="13" fillId="0" borderId="12" xfId="42" applyNumberFormat="1" applyFont="1" applyFill="1" applyBorder="1" applyAlignment="1">
      <alignment horizontal="right" vertical="center" wrapText="1" readingOrder="1"/>
    </xf>
    <xf numFmtId="43" fontId="9" fillId="0" borderId="13" xfId="42" applyNumberFormat="1" applyFont="1" applyFill="1" applyBorder="1" applyAlignment="1">
      <alignment horizontal="right" vertical="center" wrapText="1" readingOrder="1"/>
    </xf>
    <xf numFmtId="43" fontId="9" fillId="0" borderId="14" xfId="42" applyNumberFormat="1" applyFont="1" applyFill="1" applyBorder="1" applyAlignment="1">
      <alignment horizontal="right" vertical="center" wrapText="1" readingOrder="1"/>
    </xf>
    <xf numFmtId="39" fontId="9" fillId="0" borderId="11" xfId="42" applyNumberFormat="1" applyFont="1" applyFill="1" applyBorder="1" applyAlignment="1">
      <alignment horizontal="right" vertical="center" wrapText="1" readingOrder="1"/>
    </xf>
    <xf numFmtId="43" fontId="13" fillId="0" borderId="12" xfId="0" applyNumberFormat="1" applyFont="1" applyFill="1" applyBorder="1" applyAlignment="1">
      <alignment horizontal="right" vertical="center" wrapText="1" readingOrder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3" fontId="9" fillId="0" borderId="0" xfId="42" applyNumberFormat="1" applyFont="1" applyFill="1" applyBorder="1" applyAlignment="1">
      <alignment horizontal="right" vertical="center" wrapText="1" readingOrder="1"/>
    </xf>
    <xf numFmtId="0" fontId="6" fillId="0" borderId="10" xfId="0" applyFont="1" applyFill="1" applyBorder="1" applyAlignment="1">
      <alignment vertical="center" wrapText="1" readingOrder="1"/>
    </xf>
    <xf numFmtId="0" fontId="6" fillId="0" borderId="11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vertical="center" wrapText="1" readingOrder="1"/>
    </xf>
    <xf numFmtId="4" fontId="9" fillId="0" borderId="0" xfId="42" applyNumberFormat="1" applyFont="1" applyFill="1" applyBorder="1" applyAlignment="1">
      <alignment horizontal="right" vertical="center" wrapText="1" readingOrder="1"/>
    </xf>
    <xf numFmtId="4" fontId="13" fillId="0" borderId="0" xfId="42" applyNumberFormat="1" applyFont="1" applyFill="1" applyBorder="1" applyAlignment="1">
      <alignment horizontal="right" vertical="center" wrapText="1" readingOrder="1"/>
    </xf>
    <xf numFmtId="4" fontId="9" fillId="0" borderId="10" xfId="42" applyNumberFormat="1" applyFont="1" applyFill="1" applyBorder="1" applyAlignment="1">
      <alignment horizontal="right" vertical="center" wrapText="1" readingOrder="1"/>
    </xf>
    <xf numFmtId="4" fontId="9" fillId="0" borderId="11" xfId="42" applyNumberFormat="1" applyFont="1" applyFill="1" applyBorder="1" applyAlignment="1">
      <alignment horizontal="right" vertical="center" wrapText="1" readingOrder="1"/>
    </xf>
    <xf numFmtId="4" fontId="9" fillId="0" borderId="13" xfId="42" applyNumberFormat="1" applyFont="1" applyFill="1" applyBorder="1" applyAlignment="1">
      <alignment horizontal="right" vertical="center" wrapText="1" readingOrder="1"/>
    </xf>
    <xf numFmtId="4" fontId="9" fillId="0" borderId="14" xfId="42" applyNumberFormat="1" applyFont="1" applyFill="1" applyBorder="1" applyAlignment="1">
      <alignment horizontal="right" vertical="center" wrapText="1" readingOrder="1"/>
    </xf>
    <xf numFmtId="4" fontId="9" fillId="0" borderId="14" xfId="0" applyNumberFormat="1" applyFont="1" applyFill="1" applyBorder="1" applyAlignment="1">
      <alignment horizontal="right" vertical="center" wrapText="1" readingOrder="1"/>
    </xf>
    <xf numFmtId="39" fontId="9" fillId="0" borderId="10" xfId="42" applyNumberFormat="1" applyFont="1" applyFill="1" applyBorder="1" applyAlignment="1">
      <alignment horizontal="right" vertical="center" wrapText="1" readingOrder="1"/>
    </xf>
    <xf numFmtId="39" fontId="13" fillId="0" borderId="10" xfId="42" applyNumberFormat="1" applyFont="1" applyFill="1" applyBorder="1" applyAlignment="1">
      <alignment horizontal="right" vertical="center" wrapText="1" readingOrder="1"/>
    </xf>
    <xf numFmtId="39" fontId="13" fillId="0" borderId="11" xfId="42" applyNumberFormat="1" applyFont="1" applyFill="1" applyBorder="1" applyAlignment="1">
      <alignment horizontal="right" vertical="center" wrapText="1" readingOrder="1"/>
    </xf>
    <xf numFmtId="39" fontId="13" fillId="0" borderId="12" xfId="42" applyNumberFormat="1" applyFont="1" applyFill="1" applyBorder="1" applyAlignment="1">
      <alignment horizontal="right" vertical="center" wrapText="1" readingOrder="1"/>
    </xf>
    <xf numFmtId="39" fontId="9" fillId="0" borderId="0" xfId="42" applyNumberFormat="1" applyFont="1" applyFill="1" applyBorder="1" applyAlignment="1">
      <alignment horizontal="right" vertical="center" wrapText="1" readingOrder="1"/>
    </xf>
    <xf numFmtId="39" fontId="9" fillId="0" borderId="13" xfId="42" applyNumberFormat="1" applyFont="1" applyFill="1" applyBorder="1" applyAlignment="1">
      <alignment horizontal="right" vertical="center" wrapText="1" readingOrder="1"/>
    </xf>
    <xf numFmtId="39" fontId="13" fillId="0" borderId="13" xfId="42" applyNumberFormat="1" applyFont="1" applyFill="1" applyBorder="1" applyAlignment="1">
      <alignment horizontal="right" vertical="center" wrapText="1" readingOrder="1"/>
    </xf>
    <xf numFmtId="39" fontId="9" fillId="0" borderId="14" xfId="42" applyNumberFormat="1" applyFont="1" applyFill="1" applyBorder="1" applyAlignment="1">
      <alignment horizontal="right" vertical="center" wrapText="1" readingOrder="1"/>
    </xf>
    <xf numFmtId="39" fontId="13" fillId="0" borderId="14" xfId="42" applyNumberFormat="1" applyFont="1" applyFill="1" applyBorder="1" applyAlignment="1">
      <alignment horizontal="right" vertical="center" wrapText="1" readingOrder="1"/>
    </xf>
    <xf numFmtId="39" fontId="13" fillId="0" borderId="12" xfId="0" applyNumberFormat="1" applyFont="1" applyFill="1" applyBorder="1" applyAlignment="1">
      <alignment horizontal="right" vertical="center" wrapText="1" readingOrder="1"/>
    </xf>
    <xf numFmtId="4" fontId="13" fillId="0" borderId="10" xfId="42" applyNumberFormat="1" applyFont="1" applyFill="1" applyBorder="1" applyAlignment="1">
      <alignment horizontal="right" vertical="center" wrapText="1" readingOrder="1"/>
    </xf>
    <xf numFmtId="4" fontId="9" fillId="0" borderId="10" xfId="0" applyNumberFormat="1" applyFont="1" applyFill="1" applyBorder="1" applyAlignment="1">
      <alignment horizontal="right" vertical="center" wrapText="1" readingOrder="1"/>
    </xf>
    <xf numFmtId="4" fontId="9" fillId="33" borderId="10" xfId="0" applyNumberFormat="1" applyFont="1" applyFill="1" applyBorder="1" applyAlignment="1">
      <alignment horizontal="right" vertical="center" wrapText="1" readingOrder="1"/>
    </xf>
    <xf numFmtId="4" fontId="13" fillId="0" borderId="11" xfId="42" applyNumberFormat="1" applyFont="1" applyFill="1" applyBorder="1" applyAlignment="1">
      <alignment horizontal="right" vertical="center" wrapText="1" readingOrder="1"/>
    </xf>
    <xf numFmtId="4" fontId="9" fillId="33" borderId="14" xfId="0" applyNumberFormat="1" applyFont="1" applyFill="1" applyBorder="1" applyAlignment="1">
      <alignment horizontal="right" vertical="center" wrapText="1" readingOrder="1"/>
    </xf>
    <xf numFmtId="4" fontId="13" fillId="0" borderId="12" xfId="42" applyNumberFormat="1" applyFont="1" applyFill="1" applyBorder="1" applyAlignment="1">
      <alignment horizontal="right" vertical="center" wrapText="1" readingOrder="1"/>
    </xf>
    <xf numFmtId="4" fontId="13" fillId="33" borderId="12" xfId="42" applyNumberFormat="1" applyFont="1" applyFill="1" applyBorder="1" applyAlignment="1">
      <alignment horizontal="right" vertical="center" wrapText="1" readingOrder="1"/>
    </xf>
    <xf numFmtId="4" fontId="9" fillId="0" borderId="10" xfId="42" applyNumberFormat="1" applyFont="1" applyFill="1" applyBorder="1" applyAlignment="1">
      <alignment horizontal="right" vertical="center" readingOrder="1"/>
    </xf>
    <xf numFmtId="4" fontId="9" fillId="0" borderId="10" xfId="0" applyNumberFormat="1" applyFont="1" applyBorder="1" applyAlignment="1">
      <alignment horizontal="right" vertical="center" readingOrder="1"/>
    </xf>
    <xf numFmtId="4" fontId="9" fillId="33" borderId="10" xfId="0" applyNumberFormat="1" applyFont="1" applyFill="1" applyBorder="1" applyAlignment="1">
      <alignment horizontal="right" vertical="center" readingOrder="1"/>
    </xf>
    <xf numFmtId="4" fontId="9" fillId="0" borderId="14" xfId="0" applyNumberFormat="1" applyFont="1" applyFill="1" applyBorder="1" applyAlignment="1">
      <alignment horizontal="right" vertical="center" readingOrder="1"/>
    </xf>
    <xf numFmtId="4" fontId="9" fillId="0" borderId="14" xfId="0" applyNumberFormat="1" applyFont="1" applyBorder="1" applyAlignment="1">
      <alignment horizontal="right" vertical="center" readingOrder="1"/>
    </xf>
    <xf numFmtId="4" fontId="9" fillId="33" borderId="14" xfId="0" applyNumberFormat="1" applyFont="1" applyFill="1" applyBorder="1" applyAlignment="1">
      <alignment horizontal="right" vertical="center" readingOrder="1"/>
    </xf>
    <xf numFmtId="4" fontId="13" fillId="0" borderId="13" xfId="42" applyNumberFormat="1" applyFont="1" applyFill="1" applyBorder="1" applyAlignment="1">
      <alignment horizontal="right" vertical="center" wrapText="1" readingOrder="1"/>
    </xf>
    <xf numFmtId="4" fontId="13" fillId="0" borderId="14" xfId="42" applyNumberFormat="1" applyFont="1" applyFill="1" applyBorder="1" applyAlignment="1">
      <alignment horizontal="right" vertical="center" wrapText="1" readingOrder="1"/>
    </xf>
    <xf numFmtId="4" fontId="9" fillId="33" borderId="14" xfId="42" applyNumberFormat="1" applyFont="1" applyFill="1" applyBorder="1" applyAlignment="1">
      <alignment horizontal="right" vertical="center" wrapText="1" readingOrder="1"/>
    </xf>
    <xf numFmtId="4" fontId="9" fillId="0" borderId="14" xfId="42" applyNumberFormat="1" applyFont="1" applyFill="1" applyBorder="1" applyAlignment="1">
      <alignment horizontal="right" vertical="center" readingOrder="1"/>
    </xf>
    <xf numFmtId="4" fontId="9" fillId="0" borderId="14" xfId="42" applyNumberFormat="1" applyFont="1" applyBorder="1" applyAlignment="1">
      <alignment horizontal="right" vertical="center" readingOrder="1"/>
    </xf>
    <xf numFmtId="4" fontId="9" fillId="33" borderId="14" xfId="42" applyNumberFormat="1" applyFont="1" applyFill="1" applyBorder="1" applyAlignment="1">
      <alignment horizontal="right" vertical="center" readingOrder="1"/>
    </xf>
    <xf numFmtId="4" fontId="13" fillId="0" borderId="12" xfId="0" applyNumberFormat="1" applyFont="1" applyFill="1" applyBorder="1" applyAlignment="1">
      <alignment horizontal="right" vertical="center" wrapText="1" readingOrder="1"/>
    </xf>
    <xf numFmtId="4" fontId="13" fillId="33" borderId="12" xfId="0" applyNumberFormat="1" applyFont="1" applyFill="1" applyBorder="1" applyAlignment="1">
      <alignment horizontal="right" vertical="center" wrapText="1" readingOrder="1"/>
    </xf>
    <xf numFmtId="43" fontId="13" fillId="0" borderId="10" xfId="42" applyFont="1" applyFill="1" applyBorder="1" applyAlignment="1">
      <alignment horizontal="right" vertical="center" wrapText="1" readingOrder="1"/>
    </xf>
    <xf numFmtId="43" fontId="13" fillId="0" borderId="11" xfId="42" applyFont="1" applyFill="1" applyBorder="1" applyAlignment="1">
      <alignment horizontal="right" vertical="center" wrapText="1" readingOrder="1"/>
    </xf>
    <xf numFmtId="43" fontId="13" fillId="0" borderId="12" xfId="42" applyFont="1" applyFill="1" applyBorder="1" applyAlignment="1">
      <alignment horizontal="right" vertical="center" wrapText="1" readingOrder="1"/>
    </xf>
    <xf numFmtId="43" fontId="13" fillId="0" borderId="14" xfId="42" applyFont="1" applyFill="1" applyBorder="1" applyAlignment="1">
      <alignment horizontal="right" vertical="center" wrapText="1" readingOrder="1"/>
    </xf>
    <xf numFmtId="0" fontId="12" fillId="0" borderId="12" xfId="0" applyFont="1" applyFill="1" applyBorder="1" applyAlignment="1">
      <alignment horizontal="right" vertical="center" textRotation="90" wrapText="1" readingOrder="1"/>
    </xf>
    <xf numFmtId="0" fontId="52" fillId="0" borderId="0" xfId="0" applyFont="1" applyFill="1" applyAlignment="1">
      <alignment vertical="center" readingOrder="1"/>
    </xf>
    <xf numFmtId="43" fontId="53" fillId="0" borderId="10" xfId="42" applyNumberFormat="1" applyFont="1" applyFill="1" applyBorder="1" applyAlignment="1">
      <alignment horizontal="right" vertical="center" wrapText="1" readingOrder="1"/>
    </xf>
    <xf numFmtId="43" fontId="53" fillId="0" borderId="11" xfId="42" applyNumberFormat="1" applyFont="1" applyFill="1" applyBorder="1" applyAlignment="1">
      <alignment horizontal="right" vertical="center" wrapText="1" readingOrder="1"/>
    </xf>
    <xf numFmtId="43" fontId="53" fillId="0" borderId="12" xfId="42" applyNumberFormat="1" applyFont="1" applyFill="1" applyBorder="1" applyAlignment="1">
      <alignment horizontal="right" vertical="center" wrapText="1" readingOrder="1"/>
    </xf>
    <xf numFmtId="43" fontId="53" fillId="0" borderId="13" xfId="42" applyNumberFormat="1" applyFont="1" applyFill="1" applyBorder="1" applyAlignment="1">
      <alignment horizontal="right" vertical="center" wrapText="1" readingOrder="1"/>
    </xf>
    <xf numFmtId="43" fontId="53" fillId="0" borderId="14" xfId="42" applyNumberFormat="1" applyFont="1" applyFill="1" applyBorder="1" applyAlignment="1">
      <alignment horizontal="right" vertical="center" wrapText="1" readingOrder="1"/>
    </xf>
    <xf numFmtId="43" fontId="53" fillId="0" borderId="12" xfId="0" applyNumberFormat="1" applyFont="1" applyFill="1" applyBorder="1" applyAlignment="1">
      <alignment horizontal="right" vertical="center" wrapText="1" readingOrder="1"/>
    </xf>
    <xf numFmtId="0" fontId="54" fillId="0" borderId="0" xfId="0" applyFont="1" applyFill="1" applyAlignment="1">
      <alignment/>
    </xf>
    <xf numFmtId="0" fontId="55" fillId="0" borderId="12" xfId="0" applyFont="1" applyFill="1" applyBorder="1" applyAlignment="1">
      <alignment horizontal="right" vertical="center" wrapText="1" readingOrder="1"/>
    </xf>
    <xf numFmtId="4" fontId="53" fillId="0" borderId="10" xfId="42" applyNumberFormat="1" applyFont="1" applyFill="1" applyBorder="1" applyAlignment="1">
      <alignment horizontal="right" vertical="center" wrapText="1" readingOrder="1"/>
    </xf>
    <xf numFmtId="4" fontId="53" fillId="0" borderId="11" xfId="42" applyNumberFormat="1" applyFont="1" applyFill="1" applyBorder="1" applyAlignment="1">
      <alignment horizontal="right" vertical="center" wrapText="1" readingOrder="1"/>
    </xf>
    <xf numFmtId="4" fontId="53" fillId="0" borderId="12" xfId="42" applyNumberFormat="1" applyFont="1" applyFill="1" applyBorder="1" applyAlignment="1">
      <alignment horizontal="right" vertical="center" wrapText="1" readingOrder="1"/>
    </xf>
    <xf numFmtId="4" fontId="53" fillId="0" borderId="0" xfId="42" applyNumberFormat="1" applyFont="1" applyFill="1" applyBorder="1" applyAlignment="1">
      <alignment horizontal="right" vertical="center" wrapText="1" readingOrder="1"/>
    </xf>
    <xf numFmtId="4" fontId="53" fillId="0" borderId="13" xfId="42" applyNumberFormat="1" applyFont="1" applyFill="1" applyBorder="1" applyAlignment="1">
      <alignment horizontal="right" vertical="center" wrapText="1" readingOrder="1"/>
    </xf>
    <xf numFmtId="4" fontId="53" fillId="0" borderId="14" xfId="42" applyNumberFormat="1" applyFont="1" applyFill="1" applyBorder="1" applyAlignment="1">
      <alignment horizontal="right" vertical="center" wrapText="1" readingOrder="1"/>
    </xf>
    <xf numFmtId="4" fontId="53" fillId="0" borderId="12" xfId="0" applyNumberFormat="1" applyFont="1" applyFill="1" applyBorder="1" applyAlignment="1">
      <alignment horizontal="right" vertical="center" wrapText="1" readingOrder="1"/>
    </xf>
    <xf numFmtId="39" fontId="53" fillId="0" borderId="10" xfId="42" applyNumberFormat="1" applyFont="1" applyFill="1" applyBorder="1" applyAlignment="1">
      <alignment horizontal="right" vertical="center" wrapText="1" readingOrder="1"/>
    </xf>
    <xf numFmtId="39" fontId="53" fillId="0" borderId="11" xfId="42" applyNumberFormat="1" applyFont="1" applyFill="1" applyBorder="1" applyAlignment="1">
      <alignment horizontal="right" vertical="center" wrapText="1" readingOrder="1"/>
    </xf>
    <xf numFmtId="39" fontId="53" fillId="0" borderId="12" xfId="42" applyNumberFormat="1" applyFont="1" applyFill="1" applyBorder="1" applyAlignment="1">
      <alignment horizontal="right" vertical="center" wrapText="1" readingOrder="1"/>
    </xf>
    <xf numFmtId="39" fontId="53" fillId="0" borderId="13" xfId="42" applyNumberFormat="1" applyFont="1" applyFill="1" applyBorder="1" applyAlignment="1">
      <alignment horizontal="right" vertical="center" wrapText="1" readingOrder="1"/>
    </xf>
    <xf numFmtId="39" fontId="53" fillId="0" borderId="14" xfId="42" applyNumberFormat="1" applyFont="1" applyFill="1" applyBorder="1" applyAlignment="1">
      <alignment horizontal="right" vertical="center" wrapText="1" readingOrder="1"/>
    </xf>
    <xf numFmtId="39" fontId="53" fillId="0" borderId="12" xfId="0" applyNumberFormat="1" applyFont="1" applyFill="1" applyBorder="1" applyAlignment="1">
      <alignment horizontal="right" vertical="center" wrapText="1" readingOrder="1"/>
    </xf>
    <xf numFmtId="43" fontId="13" fillId="0" borderId="0" xfId="42" applyFont="1" applyFill="1" applyBorder="1" applyAlignment="1">
      <alignment horizontal="right" vertical="center" wrapText="1" readingOrder="1"/>
    </xf>
    <xf numFmtId="185" fontId="13" fillId="0" borderId="10" xfId="64" applyNumberFormat="1" applyFont="1" applyFill="1" applyBorder="1" applyAlignment="1">
      <alignment horizontal="right" vertical="center" wrapText="1" readingOrder="1"/>
    </xf>
    <xf numFmtId="185" fontId="13" fillId="0" borderId="15" xfId="64" applyNumberFormat="1" applyFont="1" applyFill="1" applyBorder="1" applyAlignment="1">
      <alignment horizontal="right" vertical="center" wrapText="1" readingOrder="1"/>
    </xf>
    <xf numFmtId="185" fontId="13" fillId="0" borderId="14" xfId="64" applyNumberFormat="1" applyFont="1" applyFill="1" applyBorder="1" applyAlignment="1">
      <alignment horizontal="right" vertical="center" wrapText="1" readingOrder="1"/>
    </xf>
    <xf numFmtId="185" fontId="13" fillId="0" borderId="12" xfId="64" applyNumberFormat="1" applyFont="1" applyFill="1" applyBorder="1" applyAlignment="1">
      <alignment horizontal="right" vertical="center" wrapText="1" readingOrder="1"/>
    </xf>
    <xf numFmtId="0" fontId="12" fillId="0" borderId="12" xfId="0" applyFont="1" applyFill="1" applyBorder="1" applyAlignment="1">
      <alignment horizontal="right" vertical="center" wrapText="1" readingOrder="1"/>
    </xf>
    <xf numFmtId="0" fontId="0" fillId="0" borderId="0" xfId="0" applyFont="1" applyFill="1" applyAlignment="1">
      <alignment/>
    </xf>
    <xf numFmtId="185" fontId="5" fillId="0" borderId="0" xfId="64" applyNumberFormat="1" applyFont="1" applyFill="1" applyAlignment="1">
      <alignment vertical="center" readingOrder="1"/>
    </xf>
    <xf numFmtId="9" fontId="0" fillId="0" borderId="0" xfId="64" applyFont="1" applyFill="1" applyAlignment="1">
      <alignment/>
    </xf>
    <xf numFmtId="0" fontId="10" fillId="0" borderId="0" xfId="0" applyFont="1" applyBorder="1" applyAlignment="1">
      <alignment horizontal="center" vertical="center" readingOrder="1"/>
    </xf>
    <xf numFmtId="0" fontId="11" fillId="0" borderId="0" xfId="0" applyFont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textRotation="90" wrapText="1" readingOrder="1"/>
    </xf>
    <xf numFmtId="0" fontId="8" fillId="0" borderId="17" xfId="0" applyFont="1" applyFill="1" applyBorder="1" applyAlignment="1">
      <alignment horizontal="center" vertical="center" textRotation="90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" customWidth="1"/>
  </cols>
  <sheetData>
    <row r="1" spans="1:11" ht="25.5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5.5">
      <c r="A2" s="9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5.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5" spans="1:11" s="15" customFormat="1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15" customFormat="1" ht="15.75">
      <c r="A6" s="96" t="s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</row>
  </sheetData>
  <sheetProtection/>
  <mergeCells count="5">
    <mergeCell ref="A1:K1"/>
    <mergeCell ref="A2:K2"/>
    <mergeCell ref="A3:K3"/>
    <mergeCell ref="A5:K5"/>
    <mergeCell ref="A6:K6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C31"/>
  <sheetViews>
    <sheetView zoomScale="110" zoomScaleNormal="11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14" customWidth="1"/>
    <col min="2" max="2" width="25.7109375" style="14" customWidth="1"/>
    <col min="3" max="3" width="18.7109375" style="14" customWidth="1"/>
    <col min="4" max="4" width="7.8515625" style="14" customWidth="1"/>
    <col min="5" max="5" width="9.8515625" style="14" customWidth="1"/>
    <col min="6" max="15" width="9.140625" style="14" customWidth="1"/>
    <col min="16" max="16" width="9.00390625" style="71" customWidth="1"/>
    <col min="17" max="22" width="9.140625" style="14" customWidth="1"/>
    <col min="23" max="23" width="8.140625" style="14" customWidth="1"/>
    <col min="24" max="28" width="9.140625" style="14" customWidth="1"/>
    <col min="29" max="29" width="9.140625" style="71" customWidth="1"/>
    <col min="30" max="33" width="9.140625" style="14" customWidth="1"/>
    <col min="34" max="34" width="9.8515625" style="14" customWidth="1"/>
    <col min="35" max="41" width="9.140625" style="14" customWidth="1"/>
    <col min="42" max="42" width="9.140625" style="71" customWidth="1"/>
    <col min="43" max="54" width="9.140625" style="14" customWidth="1"/>
    <col min="55" max="55" width="9.140625" style="71" customWidth="1"/>
    <col min="56" max="57" width="9.140625" style="14" customWidth="1"/>
    <col min="58" max="58" width="8.8515625" style="14" customWidth="1"/>
    <col min="59" max="64" width="9.140625" style="14" customWidth="1"/>
    <col min="65" max="65" width="8.421875" style="14" customWidth="1"/>
    <col min="66" max="67" width="9.140625" style="14" customWidth="1"/>
    <col min="68" max="68" width="9.140625" style="71" customWidth="1"/>
    <col min="69" max="80" width="9.140625" style="14" customWidth="1"/>
    <col min="81" max="81" width="9.140625" style="71" customWidth="1"/>
    <col min="82" max="83" width="9.140625" style="14" customWidth="1"/>
    <col min="84" max="86" width="9.421875" style="14" customWidth="1"/>
    <col min="87" max="87" width="9.57421875" style="14" customWidth="1"/>
    <col min="88" max="88" width="10.57421875" style="14" customWidth="1"/>
    <col min="89" max="90" width="9.8515625" style="14" customWidth="1"/>
    <col min="91" max="91" width="9.421875" style="14" customWidth="1"/>
    <col min="92" max="92" width="9.140625" style="14" customWidth="1"/>
    <col min="93" max="93" width="9.8515625" style="14" customWidth="1"/>
    <col min="94" max="94" width="10.57421875" style="71" bestFit="1" customWidth="1"/>
    <col min="95" max="106" width="9.140625" style="14" customWidth="1"/>
    <col min="107" max="107" width="9.140625" style="71" customWidth="1"/>
    <col min="108" max="119" width="9.140625" style="14" customWidth="1"/>
    <col min="120" max="120" width="9.140625" style="71" customWidth="1"/>
    <col min="121" max="132" width="9.140625" style="14" customWidth="1"/>
    <col min="133" max="133" width="9.140625" style="71" customWidth="1"/>
    <col min="134" max="145" width="9.140625" style="14" customWidth="1"/>
    <col min="146" max="146" width="9.140625" style="71" customWidth="1"/>
    <col min="147" max="158" width="9.140625" style="14" customWidth="1"/>
    <col min="159" max="159" width="9.140625" style="71" customWidth="1"/>
    <col min="160" max="171" width="9.140625" style="14" customWidth="1"/>
    <col min="172" max="172" width="9.140625" style="71" customWidth="1"/>
    <col min="173" max="184" width="9.140625" style="14" customWidth="1"/>
    <col min="185" max="185" width="9.140625" style="71" customWidth="1"/>
    <col min="186" max="197" width="9.140625" style="14" customWidth="1"/>
    <col min="198" max="198" width="9.140625" style="71" customWidth="1"/>
    <col min="199" max="210" width="9.140625" style="14" customWidth="1"/>
    <col min="211" max="211" width="9.140625" style="71" customWidth="1"/>
    <col min="212" max="223" width="9.140625" style="14" customWidth="1"/>
    <col min="224" max="224" width="9.140625" style="71" customWidth="1"/>
    <col min="225" max="236" width="9.140625" style="14" customWidth="1"/>
    <col min="237" max="237" width="9.140625" style="71" customWidth="1"/>
    <col min="238" max="16384" width="9.140625" style="14" customWidth="1"/>
  </cols>
  <sheetData>
    <row r="1" spans="1:237" s="1" customFormat="1" ht="19.5" customHeight="1">
      <c r="A1" s="2" t="s">
        <v>2</v>
      </c>
      <c r="P1" s="64"/>
      <c r="AC1" s="64"/>
      <c r="AP1" s="64"/>
      <c r="BC1" s="64"/>
      <c r="BP1" s="64"/>
      <c r="CC1" s="64"/>
      <c r="CP1" s="64"/>
      <c r="DC1" s="64"/>
      <c r="DP1" s="64"/>
      <c r="EC1" s="64"/>
      <c r="EP1" s="64"/>
      <c r="FC1" s="64"/>
      <c r="FP1" s="64"/>
      <c r="GC1" s="64"/>
      <c r="GP1" s="64"/>
      <c r="HC1" s="64"/>
      <c r="HP1" s="64"/>
      <c r="IC1" s="64"/>
    </row>
    <row r="2" spans="16:237" s="1" customFormat="1" ht="6.75" customHeight="1" thickBot="1">
      <c r="P2" s="64"/>
      <c r="AC2" s="64"/>
      <c r="AP2" s="64"/>
      <c r="BC2" s="64"/>
      <c r="BP2" s="64"/>
      <c r="CC2" s="64"/>
      <c r="CP2" s="64"/>
      <c r="DC2" s="64"/>
      <c r="DP2" s="64"/>
      <c r="EC2" s="64"/>
      <c r="EP2" s="64"/>
      <c r="FC2" s="64"/>
      <c r="FP2" s="64"/>
      <c r="GC2" s="64"/>
      <c r="GP2" s="64"/>
      <c r="HC2" s="64"/>
      <c r="HP2" s="64"/>
      <c r="IC2" s="64"/>
    </row>
    <row r="3" spans="1:237" s="1" customFormat="1" ht="13.5" customHeight="1" thickBot="1">
      <c r="A3" s="2"/>
      <c r="B3" s="4"/>
      <c r="C3" s="4"/>
      <c r="D3" s="97">
        <v>2002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>
        <v>2003</v>
      </c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>
        <v>2004</v>
      </c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>
        <v>2005</v>
      </c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>
        <v>2006</v>
      </c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>
        <v>2007</v>
      </c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>
        <v>2008</v>
      </c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>
        <v>2009</v>
      </c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>
        <v>2010</v>
      </c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>
        <v>2011</v>
      </c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>
        <v>2012</v>
      </c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>
        <v>2013</v>
      </c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>
        <v>2014</v>
      </c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>
        <v>2015</v>
      </c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>
        <v>2016</v>
      </c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>
        <v>2017</v>
      </c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>
        <v>2018</v>
      </c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>
        <v>2019</v>
      </c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</row>
    <row r="4" spans="2:237" s="1" customFormat="1" ht="55.5" customHeight="1" thickBot="1">
      <c r="B4" s="4"/>
      <c r="C4" s="4"/>
      <c r="D4" s="63" t="s">
        <v>21</v>
      </c>
      <c r="E4" s="63" t="s">
        <v>22</v>
      </c>
      <c r="F4" s="63" t="s">
        <v>23</v>
      </c>
      <c r="G4" s="63" t="s">
        <v>24</v>
      </c>
      <c r="H4" s="63" t="s">
        <v>25</v>
      </c>
      <c r="I4" s="63" t="s">
        <v>26</v>
      </c>
      <c r="J4" s="63" t="s">
        <v>27</v>
      </c>
      <c r="K4" s="63" t="s">
        <v>28</v>
      </c>
      <c r="L4" s="63" t="s">
        <v>29</v>
      </c>
      <c r="M4" s="63" t="s">
        <v>30</v>
      </c>
      <c r="N4" s="63" t="s">
        <v>31</v>
      </c>
      <c r="O4" s="63" t="s">
        <v>32</v>
      </c>
      <c r="P4" s="72" t="s">
        <v>33</v>
      </c>
      <c r="Q4" s="63" t="s">
        <v>21</v>
      </c>
      <c r="R4" s="63" t="s">
        <v>22</v>
      </c>
      <c r="S4" s="63" t="s">
        <v>23</v>
      </c>
      <c r="T4" s="63" t="s">
        <v>24</v>
      </c>
      <c r="U4" s="63" t="s">
        <v>25</v>
      </c>
      <c r="V4" s="63" t="s">
        <v>26</v>
      </c>
      <c r="W4" s="63" t="s">
        <v>27</v>
      </c>
      <c r="X4" s="63" t="s">
        <v>28</v>
      </c>
      <c r="Y4" s="63" t="s">
        <v>29</v>
      </c>
      <c r="Z4" s="63" t="s">
        <v>30</v>
      </c>
      <c r="AA4" s="63" t="s">
        <v>31</v>
      </c>
      <c r="AB4" s="63" t="s">
        <v>32</v>
      </c>
      <c r="AC4" s="72" t="s">
        <v>34</v>
      </c>
      <c r="AD4" s="63" t="s">
        <v>21</v>
      </c>
      <c r="AE4" s="63" t="s">
        <v>22</v>
      </c>
      <c r="AF4" s="63" t="s">
        <v>23</v>
      </c>
      <c r="AG4" s="63" t="s">
        <v>24</v>
      </c>
      <c r="AH4" s="63" t="s">
        <v>25</v>
      </c>
      <c r="AI4" s="63" t="s">
        <v>26</v>
      </c>
      <c r="AJ4" s="63" t="s">
        <v>27</v>
      </c>
      <c r="AK4" s="63" t="s">
        <v>28</v>
      </c>
      <c r="AL4" s="63" t="s">
        <v>29</v>
      </c>
      <c r="AM4" s="63" t="s">
        <v>30</v>
      </c>
      <c r="AN4" s="63" t="s">
        <v>31</v>
      </c>
      <c r="AO4" s="63" t="s">
        <v>32</v>
      </c>
      <c r="AP4" s="72" t="s">
        <v>35</v>
      </c>
      <c r="AQ4" s="63" t="s">
        <v>21</v>
      </c>
      <c r="AR4" s="63" t="s">
        <v>22</v>
      </c>
      <c r="AS4" s="63" t="s">
        <v>23</v>
      </c>
      <c r="AT4" s="63" t="s">
        <v>24</v>
      </c>
      <c r="AU4" s="63" t="s">
        <v>25</v>
      </c>
      <c r="AV4" s="63" t="s">
        <v>26</v>
      </c>
      <c r="AW4" s="63" t="s">
        <v>27</v>
      </c>
      <c r="AX4" s="63" t="s">
        <v>28</v>
      </c>
      <c r="AY4" s="63" t="s">
        <v>29</v>
      </c>
      <c r="AZ4" s="63" t="s">
        <v>30</v>
      </c>
      <c r="BA4" s="63" t="s">
        <v>31</v>
      </c>
      <c r="BB4" s="63" t="s">
        <v>32</v>
      </c>
      <c r="BC4" s="72" t="s">
        <v>50</v>
      </c>
      <c r="BD4" s="63" t="s">
        <v>21</v>
      </c>
      <c r="BE4" s="63" t="s">
        <v>22</v>
      </c>
      <c r="BF4" s="63" t="s">
        <v>23</v>
      </c>
      <c r="BG4" s="63" t="s">
        <v>24</v>
      </c>
      <c r="BH4" s="63" t="s">
        <v>25</v>
      </c>
      <c r="BI4" s="63" t="s">
        <v>26</v>
      </c>
      <c r="BJ4" s="63" t="s">
        <v>27</v>
      </c>
      <c r="BK4" s="63" t="s">
        <v>28</v>
      </c>
      <c r="BL4" s="63" t="s">
        <v>29</v>
      </c>
      <c r="BM4" s="63" t="s">
        <v>30</v>
      </c>
      <c r="BN4" s="63" t="s">
        <v>31</v>
      </c>
      <c r="BO4" s="63" t="s">
        <v>32</v>
      </c>
      <c r="BP4" s="72" t="s">
        <v>49</v>
      </c>
      <c r="BQ4" s="63" t="s">
        <v>21</v>
      </c>
      <c r="BR4" s="63" t="s">
        <v>22</v>
      </c>
      <c r="BS4" s="63" t="s">
        <v>23</v>
      </c>
      <c r="BT4" s="63" t="s">
        <v>24</v>
      </c>
      <c r="BU4" s="63" t="s">
        <v>25</v>
      </c>
      <c r="BV4" s="63" t="s">
        <v>26</v>
      </c>
      <c r="BW4" s="63" t="s">
        <v>27</v>
      </c>
      <c r="BX4" s="63" t="s">
        <v>28</v>
      </c>
      <c r="BY4" s="63" t="s">
        <v>29</v>
      </c>
      <c r="BZ4" s="63" t="s">
        <v>30</v>
      </c>
      <c r="CA4" s="63" t="s">
        <v>31</v>
      </c>
      <c r="CB4" s="63" t="s">
        <v>32</v>
      </c>
      <c r="CC4" s="72" t="s">
        <v>48</v>
      </c>
      <c r="CD4" s="63" t="s">
        <v>21</v>
      </c>
      <c r="CE4" s="63" t="s">
        <v>22</v>
      </c>
      <c r="CF4" s="63" t="s">
        <v>23</v>
      </c>
      <c r="CG4" s="63" t="s">
        <v>24</v>
      </c>
      <c r="CH4" s="63" t="s">
        <v>25</v>
      </c>
      <c r="CI4" s="63" t="s">
        <v>26</v>
      </c>
      <c r="CJ4" s="63" t="s">
        <v>27</v>
      </c>
      <c r="CK4" s="63" t="s">
        <v>28</v>
      </c>
      <c r="CL4" s="63" t="s">
        <v>29</v>
      </c>
      <c r="CM4" s="63" t="s">
        <v>30</v>
      </c>
      <c r="CN4" s="63" t="s">
        <v>31</v>
      </c>
      <c r="CO4" s="63" t="s">
        <v>32</v>
      </c>
      <c r="CP4" s="72" t="s">
        <v>47</v>
      </c>
      <c r="CQ4" s="63" t="s">
        <v>21</v>
      </c>
      <c r="CR4" s="63" t="s">
        <v>22</v>
      </c>
      <c r="CS4" s="63" t="s">
        <v>23</v>
      </c>
      <c r="CT4" s="63" t="s">
        <v>24</v>
      </c>
      <c r="CU4" s="63" t="s">
        <v>25</v>
      </c>
      <c r="CV4" s="63" t="s">
        <v>26</v>
      </c>
      <c r="CW4" s="63" t="s">
        <v>27</v>
      </c>
      <c r="CX4" s="63" t="s">
        <v>28</v>
      </c>
      <c r="CY4" s="63" t="s">
        <v>29</v>
      </c>
      <c r="CZ4" s="63" t="s">
        <v>30</v>
      </c>
      <c r="DA4" s="63" t="s">
        <v>31</v>
      </c>
      <c r="DB4" s="63" t="s">
        <v>32</v>
      </c>
      <c r="DC4" s="72" t="s">
        <v>46</v>
      </c>
      <c r="DD4" s="63" t="s">
        <v>21</v>
      </c>
      <c r="DE4" s="63" t="s">
        <v>22</v>
      </c>
      <c r="DF4" s="63" t="s">
        <v>23</v>
      </c>
      <c r="DG4" s="63" t="s">
        <v>24</v>
      </c>
      <c r="DH4" s="63" t="s">
        <v>25</v>
      </c>
      <c r="DI4" s="63" t="s">
        <v>26</v>
      </c>
      <c r="DJ4" s="63" t="s">
        <v>27</v>
      </c>
      <c r="DK4" s="63" t="s">
        <v>28</v>
      </c>
      <c r="DL4" s="63" t="s">
        <v>29</v>
      </c>
      <c r="DM4" s="63" t="s">
        <v>30</v>
      </c>
      <c r="DN4" s="63" t="s">
        <v>31</v>
      </c>
      <c r="DO4" s="63" t="s">
        <v>32</v>
      </c>
      <c r="DP4" s="72" t="s">
        <v>45</v>
      </c>
      <c r="DQ4" s="63" t="s">
        <v>21</v>
      </c>
      <c r="DR4" s="63" t="s">
        <v>22</v>
      </c>
      <c r="DS4" s="63" t="s">
        <v>23</v>
      </c>
      <c r="DT4" s="63" t="s">
        <v>24</v>
      </c>
      <c r="DU4" s="63" t="s">
        <v>25</v>
      </c>
      <c r="DV4" s="63" t="s">
        <v>26</v>
      </c>
      <c r="DW4" s="63" t="s">
        <v>27</v>
      </c>
      <c r="DX4" s="63" t="s">
        <v>28</v>
      </c>
      <c r="DY4" s="63" t="s">
        <v>29</v>
      </c>
      <c r="DZ4" s="63" t="s">
        <v>30</v>
      </c>
      <c r="EA4" s="63" t="s">
        <v>31</v>
      </c>
      <c r="EB4" s="63" t="s">
        <v>32</v>
      </c>
      <c r="EC4" s="72" t="s">
        <v>44</v>
      </c>
      <c r="ED4" s="63" t="s">
        <v>21</v>
      </c>
      <c r="EE4" s="63" t="s">
        <v>22</v>
      </c>
      <c r="EF4" s="63" t="s">
        <v>23</v>
      </c>
      <c r="EG4" s="63" t="s">
        <v>24</v>
      </c>
      <c r="EH4" s="63" t="s">
        <v>25</v>
      </c>
      <c r="EI4" s="63" t="s">
        <v>26</v>
      </c>
      <c r="EJ4" s="63" t="s">
        <v>27</v>
      </c>
      <c r="EK4" s="63" t="s">
        <v>28</v>
      </c>
      <c r="EL4" s="63" t="s">
        <v>29</v>
      </c>
      <c r="EM4" s="63" t="s">
        <v>30</v>
      </c>
      <c r="EN4" s="63" t="s">
        <v>31</v>
      </c>
      <c r="EO4" s="63" t="s">
        <v>32</v>
      </c>
      <c r="EP4" s="72" t="s">
        <v>43</v>
      </c>
      <c r="EQ4" s="63" t="s">
        <v>21</v>
      </c>
      <c r="ER4" s="63" t="s">
        <v>22</v>
      </c>
      <c r="ES4" s="63" t="s">
        <v>23</v>
      </c>
      <c r="ET4" s="63" t="s">
        <v>24</v>
      </c>
      <c r="EU4" s="63" t="s">
        <v>25</v>
      </c>
      <c r="EV4" s="63" t="s">
        <v>26</v>
      </c>
      <c r="EW4" s="63" t="s">
        <v>27</v>
      </c>
      <c r="EX4" s="63" t="s">
        <v>28</v>
      </c>
      <c r="EY4" s="63" t="s">
        <v>29</v>
      </c>
      <c r="EZ4" s="63" t="s">
        <v>30</v>
      </c>
      <c r="FA4" s="63" t="s">
        <v>31</v>
      </c>
      <c r="FB4" s="63" t="s">
        <v>32</v>
      </c>
      <c r="FC4" s="72" t="s">
        <v>42</v>
      </c>
      <c r="FD4" s="63" t="s">
        <v>21</v>
      </c>
      <c r="FE4" s="63" t="s">
        <v>22</v>
      </c>
      <c r="FF4" s="63" t="s">
        <v>23</v>
      </c>
      <c r="FG4" s="63" t="s">
        <v>24</v>
      </c>
      <c r="FH4" s="63" t="s">
        <v>25</v>
      </c>
      <c r="FI4" s="63" t="s">
        <v>26</v>
      </c>
      <c r="FJ4" s="63" t="s">
        <v>27</v>
      </c>
      <c r="FK4" s="63" t="s">
        <v>28</v>
      </c>
      <c r="FL4" s="63" t="s">
        <v>29</v>
      </c>
      <c r="FM4" s="63" t="s">
        <v>30</v>
      </c>
      <c r="FN4" s="63" t="s">
        <v>31</v>
      </c>
      <c r="FO4" s="63" t="s">
        <v>32</v>
      </c>
      <c r="FP4" s="72" t="s">
        <v>40</v>
      </c>
      <c r="FQ4" s="63" t="s">
        <v>21</v>
      </c>
      <c r="FR4" s="63" t="s">
        <v>22</v>
      </c>
      <c r="FS4" s="63" t="s">
        <v>23</v>
      </c>
      <c r="FT4" s="63" t="s">
        <v>24</v>
      </c>
      <c r="FU4" s="63" t="s">
        <v>25</v>
      </c>
      <c r="FV4" s="63" t="s">
        <v>26</v>
      </c>
      <c r="FW4" s="63" t="s">
        <v>27</v>
      </c>
      <c r="FX4" s="63" t="s">
        <v>28</v>
      </c>
      <c r="FY4" s="63" t="s">
        <v>29</v>
      </c>
      <c r="FZ4" s="63" t="s">
        <v>30</v>
      </c>
      <c r="GA4" s="63" t="s">
        <v>31</v>
      </c>
      <c r="GB4" s="63" t="s">
        <v>32</v>
      </c>
      <c r="GC4" s="72" t="s">
        <v>41</v>
      </c>
      <c r="GD4" s="63" t="s">
        <v>21</v>
      </c>
      <c r="GE4" s="63" t="s">
        <v>22</v>
      </c>
      <c r="GF4" s="63" t="s">
        <v>23</v>
      </c>
      <c r="GG4" s="63" t="s">
        <v>24</v>
      </c>
      <c r="GH4" s="63" t="s">
        <v>25</v>
      </c>
      <c r="GI4" s="63" t="s">
        <v>26</v>
      </c>
      <c r="GJ4" s="63" t="s">
        <v>27</v>
      </c>
      <c r="GK4" s="63" t="s">
        <v>28</v>
      </c>
      <c r="GL4" s="63" t="s">
        <v>29</v>
      </c>
      <c r="GM4" s="63" t="s">
        <v>30</v>
      </c>
      <c r="GN4" s="63" t="s">
        <v>31</v>
      </c>
      <c r="GO4" s="63" t="s">
        <v>32</v>
      </c>
      <c r="GP4" s="72" t="s">
        <v>39</v>
      </c>
      <c r="GQ4" s="63" t="s">
        <v>21</v>
      </c>
      <c r="GR4" s="63" t="s">
        <v>22</v>
      </c>
      <c r="GS4" s="63" t="s">
        <v>23</v>
      </c>
      <c r="GT4" s="63" t="s">
        <v>24</v>
      </c>
      <c r="GU4" s="63" t="s">
        <v>25</v>
      </c>
      <c r="GV4" s="63" t="s">
        <v>26</v>
      </c>
      <c r="GW4" s="63" t="s">
        <v>27</v>
      </c>
      <c r="GX4" s="63" t="s">
        <v>28</v>
      </c>
      <c r="GY4" s="63" t="s">
        <v>29</v>
      </c>
      <c r="GZ4" s="63" t="s">
        <v>30</v>
      </c>
      <c r="HA4" s="63" t="s">
        <v>31</v>
      </c>
      <c r="HB4" s="63" t="s">
        <v>32</v>
      </c>
      <c r="HC4" s="72" t="s">
        <v>38</v>
      </c>
      <c r="HD4" s="63" t="s">
        <v>21</v>
      </c>
      <c r="HE4" s="63" t="s">
        <v>22</v>
      </c>
      <c r="HF4" s="63" t="s">
        <v>23</v>
      </c>
      <c r="HG4" s="63" t="s">
        <v>24</v>
      </c>
      <c r="HH4" s="63" t="s">
        <v>25</v>
      </c>
      <c r="HI4" s="63" t="s">
        <v>26</v>
      </c>
      <c r="HJ4" s="63" t="s">
        <v>27</v>
      </c>
      <c r="HK4" s="63" t="s">
        <v>28</v>
      </c>
      <c r="HL4" s="63" t="s">
        <v>29</v>
      </c>
      <c r="HM4" s="63" t="s">
        <v>30</v>
      </c>
      <c r="HN4" s="63" t="s">
        <v>31</v>
      </c>
      <c r="HO4" s="63" t="s">
        <v>32</v>
      </c>
      <c r="HP4" s="72" t="s">
        <v>37</v>
      </c>
      <c r="HQ4" s="63" t="s">
        <v>21</v>
      </c>
      <c r="HR4" s="63" t="s">
        <v>22</v>
      </c>
      <c r="HS4" s="63" t="s">
        <v>23</v>
      </c>
      <c r="HT4" s="63" t="s">
        <v>24</v>
      </c>
      <c r="HU4" s="63" t="s">
        <v>25</v>
      </c>
      <c r="HV4" s="63" t="s">
        <v>26</v>
      </c>
      <c r="HW4" s="63" t="s">
        <v>27</v>
      </c>
      <c r="HX4" s="63" t="s">
        <v>28</v>
      </c>
      <c r="HY4" s="63" t="s">
        <v>29</v>
      </c>
      <c r="HZ4" s="63" t="s">
        <v>30</v>
      </c>
      <c r="IA4" s="63" t="s">
        <v>31</v>
      </c>
      <c r="IB4" s="63" t="s">
        <v>32</v>
      </c>
      <c r="IC4" s="72" t="s">
        <v>36</v>
      </c>
    </row>
    <row r="5" spans="1:237" s="1" customFormat="1" ht="30" customHeight="1">
      <c r="A5" s="98" t="s">
        <v>6</v>
      </c>
      <c r="B5" s="100" t="s">
        <v>7</v>
      </c>
      <c r="C5" s="17" t="s">
        <v>15</v>
      </c>
      <c r="D5" s="6">
        <v>166.82</v>
      </c>
      <c r="E5" s="6">
        <v>94.71</v>
      </c>
      <c r="F5" s="6">
        <v>34.42</v>
      </c>
      <c r="G5" s="6">
        <v>162.51</v>
      </c>
      <c r="H5" s="6">
        <v>245.9</v>
      </c>
      <c r="I5" s="6">
        <v>232.56</v>
      </c>
      <c r="J5" s="6">
        <v>252.28</v>
      </c>
      <c r="K5" s="6">
        <v>200.17</v>
      </c>
      <c r="L5" s="6">
        <v>189</v>
      </c>
      <c r="M5" s="6">
        <v>76.49</v>
      </c>
      <c r="N5" s="6"/>
      <c r="O5" s="6">
        <v>133.39</v>
      </c>
      <c r="P5" s="65">
        <f aca="true" t="shared" si="0" ref="P5:P23">SUM(D5:O5)</f>
        <v>1788.25</v>
      </c>
      <c r="Q5" s="28">
        <v>168.34</v>
      </c>
      <c r="R5" s="28">
        <v>176</v>
      </c>
      <c r="S5" s="28">
        <v>191.47</v>
      </c>
      <c r="T5" s="28">
        <v>0</v>
      </c>
      <c r="U5" s="28">
        <v>0</v>
      </c>
      <c r="V5" s="28">
        <v>213.97</v>
      </c>
      <c r="W5" s="28">
        <v>199.41</v>
      </c>
      <c r="X5" s="28">
        <v>160.97</v>
      </c>
      <c r="Y5" s="28">
        <v>200.45</v>
      </c>
      <c r="Z5" s="28">
        <v>179.67</v>
      </c>
      <c r="AA5" s="28">
        <v>147.46</v>
      </c>
      <c r="AB5" s="28">
        <v>60.64</v>
      </c>
      <c r="AC5" s="80">
        <f aca="true" t="shared" si="1" ref="AC5:AC23">SUM(Q5:AB5)</f>
        <v>1698.3800000000003</v>
      </c>
      <c r="AD5" s="23">
        <v>59.97</v>
      </c>
      <c r="AE5" s="23">
        <v>156.4</v>
      </c>
      <c r="AF5" s="23">
        <v>181.05</v>
      </c>
      <c r="AG5" s="23">
        <v>152.38</v>
      </c>
      <c r="AH5" s="23">
        <v>126.1</v>
      </c>
      <c r="AI5" s="23">
        <v>105.8</v>
      </c>
      <c r="AJ5" s="23">
        <v>133.64</v>
      </c>
      <c r="AK5" s="23">
        <v>199.18</v>
      </c>
      <c r="AL5" s="23">
        <v>211.48</v>
      </c>
      <c r="AM5" s="23">
        <v>121.36</v>
      </c>
      <c r="AN5" s="23">
        <f>115.63</f>
        <v>115.63</v>
      </c>
      <c r="AO5" s="23">
        <v>89.17</v>
      </c>
      <c r="AP5" s="73">
        <f aca="true" t="shared" si="2" ref="AP5:AP23">SUM(AD5:AO5)</f>
        <v>1652.1599999999999</v>
      </c>
      <c r="AQ5" s="23">
        <v>87.61</v>
      </c>
      <c r="AR5" s="23">
        <v>75.2</v>
      </c>
      <c r="AS5" s="23">
        <v>26.71</v>
      </c>
      <c r="AT5" s="23">
        <v>30.09</v>
      </c>
      <c r="AU5" s="23">
        <v>19.74</v>
      </c>
      <c r="AV5" s="23">
        <v>23.19</v>
      </c>
      <c r="AW5" s="23">
        <v>30.5</v>
      </c>
      <c r="AX5" s="23">
        <v>28.62</v>
      </c>
      <c r="AY5" s="23">
        <v>37.93</v>
      </c>
      <c r="AZ5" s="23">
        <v>25.99</v>
      </c>
      <c r="BA5" s="23">
        <v>45.37</v>
      </c>
      <c r="BB5" s="23">
        <v>48.86</v>
      </c>
      <c r="BC5" s="73">
        <f aca="true" t="shared" si="3" ref="BC5:BC23">SUM(AQ5:BB5)</f>
        <v>479.81000000000006</v>
      </c>
      <c r="BD5" s="23">
        <v>32.33</v>
      </c>
      <c r="BE5" s="23">
        <v>38.41</v>
      </c>
      <c r="BF5" s="23">
        <v>39.3</v>
      </c>
      <c r="BG5" s="23">
        <v>20.99</v>
      </c>
      <c r="BH5" s="23">
        <v>48.2</v>
      </c>
      <c r="BI5" s="23">
        <v>40.52</v>
      </c>
      <c r="BJ5" s="23">
        <v>13.99</v>
      </c>
      <c r="BK5" s="23">
        <v>3.51</v>
      </c>
      <c r="BL5" s="23">
        <v>49.2</v>
      </c>
      <c r="BM5" s="23">
        <v>49.54</v>
      </c>
      <c r="BN5" s="23">
        <v>94.68</v>
      </c>
      <c r="BO5" s="23">
        <v>124.22</v>
      </c>
      <c r="BP5" s="73">
        <f aca="true" t="shared" si="4" ref="BP5:BP23">SUM(BD5:BO5)</f>
        <v>554.8900000000001</v>
      </c>
      <c r="BQ5" s="23">
        <v>41.24</v>
      </c>
      <c r="BR5" s="23">
        <v>6.03</v>
      </c>
      <c r="BS5" s="23">
        <v>13.82</v>
      </c>
      <c r="BT5" s="23">
        <v>37.93</v>
      </c>
      <c r="BU5" s="23">
        <v>37.61</v>
      </c>
      <c r="BV5" s="23">
        <v>95.13</v>
      </c>
      <c r="BW5" s="23">
        <v>47.35</v>
      </c>
      <c r="BX5" s="23">
        <v>7.8</v>
      </c>
      <c r="BY5" s="23">
        <v>13.51</v>
      </c>
      <c r="BZ5" s="23">
        <v>46.54</v>
      </c>
      <c r="CA5" s="23">
        <v>75.21</v>
      </c>
      <c r="CB5" s="23">
        <v>9.77</v>
      </c>
      <c r="CC5" s="73">
        <f aca="true" t="shared" si="5" ref="CC5:CC23">SUM(BQ5:CB5)</f>
        <v>431.94</v>
      </c>
      <c r="CD5" s="39">
        <v>2.63</v>
      </c>
      <c r="CE5" s="39">
        <v>3.438</v>
      </c>
      <c r="CF5" s="39">
        <v>10.256</v>
      </c>
      <c r="CG5" s="39">
        <v>9.522</v>
      </c>
      <c r="CH5" s="39">
        <v>3.35</v>
      </c>
      <c r="CI5" s="39">
        <v>4.396</v>
      </c>
      <c r="CJ5" s="39">
        <v>2.128</v>
      </c>
      <c r="CK5" s="39">
        <v>0.895</v>
      </c>
      <c r="CL5" s="39">
        <v>3.373</v>
      </c>
      <c r="CM5" s="39">
        <v>4.289</v>
      </c>
      <c r="CN5" s="40"/>
      <c r="CO5" s="39">
        <v>2.092</v>
      </c>
      <c r="CP5" s="73">
        <f aca="true" t="shared" si="6" ref="CP5:CP23">SUM(CD5:CO5)</f>
        <v>46.369</v>
      </c>
      <c r="CQ5" s="23">
        <v>41.14</v>
      </c>
      <c r="CR5" s="23">
        <v>33.66</v>
      </c>
      <c r="CS5" s="23">
        <v>48.62</v>
      </c>
      <c r="CT5" s="23">
        <v>18.7</v>
      </c>
      <c r="CU5" s="23">
        <v>36.25</v>
      </c>
      <c r="CV5" s="23">
        <v>53.24</v>
      </c>
      <c r="CW5" s="23">
        <v>63.58</v>
      </c>
      <c r="CX5" s="23">
        <v>56.98</v>
      </c>
      <c r="CY5" s="23">
        <v>48.62</v>
      </c>
      <c r="CZ5" s="23">
        <v>78.54</v>
      </c>
      <c r="DA5" s="23">
        <v>41.14</v>
      </c>
      <c r="DB5" s="23">
        <v>48.62</v>
      </c>
      <c r="DC5" s="73">
        <f aca="true" t="shared" si="7" ref="DC5:DC23">SUM(CQ5:DB5)</f>
        <v>569.09</v>
      </c>
      <c r="DD5" s="23">
        <v>52.25</v>
      </c>
      <c r="DE5" s="23">
        <v>48.46</v>
      </c>
      <c r="DF5" s="23">
        <v>35.94</v>
      </c>
      <c r="DG5" s="23">
        <v>41.21</v>
      </c>
      <c r="DH5" s="23">
        <v>63.58</v>
      </c>
      <c r="DI5" s="23">
        <v>90</v>
      </c>
      <c r="DJ5" s="23">
        <v>52.36</v>
      </c>
      <c r="DK5" s="23">
        <v>52.28</v>
      </c>
      <c r="DL5" s="23">
        <v>48.62</v>
      </c>
      <c r="DM5" s="23">
        <v>48.62</v>
      </c>
      <c r="DN5" s="23">
        <v>61.82</v>
      </c>
      <c r="DO5" s="23">
        <v>52.36</v>
      </c>
      <c r="DP5" s="73">
        <f aca="true" t="shared" si="8" ref="DP5:DP23">SUM(DD5:DO5)</f>
        <v>647.5000000000001</v>
      </c>
      <c r="DQ5" s="23">
        <v>70.62</v>
      </c>
      <c r="DR5" s="23">
        <v>60.94</v>
      </c>
      <c r="DS5" s="23">
        <v>19.03</v>
      </c>
      <c r="DT5" s="23">
        <v>64.02</v>
      </c>
      <c r="DU5" s="23">
        <v>74.8</v>
      </c>
      <c r="DV5" s="23">
        <v>82.28</v>
      </c>
      <c r="DW5" s="23">
        <v>82.28</v>
      </c>
      <c r="DX5" s="23">
        <v>67.32</v>
      </c>
      <c r="DY5" s="23">
        <v>97.02</v>
      </c>
      <c r="DZ5" s="23">
        <v>92.62</v>
      </c>
      <c r="EA5" s="23">
        <v>116.6</v>
      </c>
      <c r="EB5" s="23">
        <v>127.16</v>
      </c>
      <c r="EC5" s="73">
        <f aca="true" t="shared" si="9" ref="EC5:EC23">SUM(DQ5:EB5)</f>
        <v>954.6899999999999</v>
      </c>
      <c r="ED5" s="23">
        <v>93.5</v>
      </c>
      <c r="EE5" s="23">
        <v>113.3</v>
      </c>
      <c r="EF5" s="23">
        <v>78.54</v>
      </c>
      <c r="EG5" s="23">
        <v>78.54</v>
      </c>
      <c r="EH5" s="23">
        <v>97.24</v>
      </c>
      <c r="EI5" s="23">
        <v>116.16</v>
      </c>
      <c r="EJ5" s="23">
        <v>123.42</v>
      </c>
      <c r="EK5" s="23">
        <v>136.84</v>
      </c>
      <c r="EL5" s="23">
        <v>116.77</v>
      </c>
      <c r="EM5" s="23">
        <v>143.22</v>
      </c>
      <c r="EN5" s="23">
        <v>149.33</v>
      </c>
      <c r="EO5" s="23">
        <v>134.42</v>
      </c>
      <c r="EP5" s="73">
        <f aca="true" t="shared" si="10" ref="EP5:EP23">SUM(ED5:EO5)</f>
        <v>1381.28</v>
      </c>
      <c r="EQ5" s="23">
        <v>160.38</v>
      </c>
      <c r="ER5" s="23">
        <v>132.22</v>
      </c>
      <c r="ES5" s="23">
        <v>139.92</v>
      </c>
      <c r="ET5" s="23">
        <v>177.32</v>
      </c>
      <c r="EU5" s="23">
        <v>164.34</v>
      </c>
      <c r="EV5" s="23">
        <v>175.12</v>
      </c>
      <c r="EW5" s="23">
        <v>131.12</v>
      </c>
      <c r="EX5" s="23">
        <v>162.14</v>
      </c>
      <c r="EY5" s="23">
        <v>175.78</v>
      </c>
      <c r="EZ5" s="23">
        <v>190.08</v>
      </c>
      <c r="FA5" s="23">
        <v>176</v>
      </c>
      <c r="FB5" s="23">
        <v>170.5</v>
      </c>
      <c r="FC5" s="73">
        <f aca="true" t="shared" si="11" ref="FC5:FC23">SUM(EQ5:FB5)</f>
        <v>1954.9199999999998</v>
      </c>
      <c r="FD5" s="23">
        <v>168.74</v>
      </c>
      <c r="FE5" s="23">
        <v>172.92</v>
      </c>
      <c r="FF5" s="23">
        <v>214.09</v>
      </c>
      <c r="FG5" s="23">
        <v>199.61</v>
      </c>
      <c r="FH5" s="23">
        <v>199.72</v>
      </c>
      <c r="FI5" s="23">
        <v>180.85</v>
      </c>
      <c r="FJ5" s="23">
        <v>135.74</v>
      </c>
      <c r="FK5" s="23">
        <v>168.08</v>
      </c>
      <c r="FL5" s="23">
        <v>175.3</v>
      </c>
      <c r="FM5" s="23">
        <v>175.07</v>
      </c>
      <c r="FN5" s="23">
        <v>177.04</v>
      </c>
      <c r="FO5" s="23">
        <v>175.78</v>
      </c>
      <c r="FP5" s="73">
        <f aca="true" t="shared" si="12" ref="FP5:FP23">SUM(FD5:FO5)</f>
        <v>2142.94</v>
      </c>
      <c r="FQ5" s="23">
        <v>108.79</v>
      </c>
      <c r="FR5" s="23">
        <v>121.72</v>
      </c>
      <c r="FS5" s="23">
        <v>104.72</v>
      </c>
      <c r="FT5" s="23">
        <v>134.53</v>
      </c>
      <c r="FU5" s="23">
        <v>130.89</v>
      </c>
      <c r="FV5" s="23">
        <v>157.84</v>
      </c>
      <c r="FW5" s="23">
        <v>125.4</v>
      </c>
      <c r="FX5" s="23">
        <v>199.52</v>
      </c>
      <c r="FY5" s="23">
        <v>251</v>
      </c>
      <c r="FZ5" s="23">
        <v>339.59</v>
      </c>
      <c r="GA5" s="23">
        <v>250.45</v>
      </c>
      <c r="GB5" s="23">
        <v>255.88</v>
      </c>
      <c r="GC5" s="73">
        <f aca="true" t="shared" si="13" ref="GC5:GC23">SUM(FQ5:GB5)</f>
        <v>2180.33</v>
      </c>
      <c r="GD5" s="23">
        <v>257.72</v>
      </c>
      <c r="GE5" s="23">
        <v>290.03</v>
      </c>
      <c r="GF5" s="23">
        <v>376.06</v>
      </c>
      <c r="GG5" s="23">
        <v>333.06</v>
      </c>
      <c r="GH5" s="23">
        <v>326.07</v>
      </c>
      <c r="GI5" s="23">
        <v>278.76</v>
      </c>
      <c r="GJ5" s="23">
        <v>295.99</v>
      </c>
      <c r="GK5" s="23">
        <v>379.28</v>
      </c>
      <c r="GL5" s="23">
        <v>304.27</v>
      </c>
      <c r="GM5" s="23">
        <v>371.91</v>
      </c>
      <c r="GN5" s="23">
        <v>387.45</v>
      </c>
      <c r="GO5" s="23">
        <v>391.32</v>
      </c>
      <c r="GP5" s="73">
        <f aca="true" t="shared" si="14" ref="GP5:GP23">SUM(GD5:GO5)</f>
        <v>3991.919999999999</v>
      </c>
      <c r="GQ5" s="23">
        <v>370.85</v>
      </c>
      <c r="GR5" s="23">
        <v>326.07</v>
      </c>
      <c r="GS5" s="23">
        <v>444.3</v>
      </c>
      <c r="GT5" s="23">
        <v>348.85</v>
      </c>
      <c r="GU5" s="23">
        <v>485.38</v>
      </c>
      <c r="GV5" s="23">
        <v>444.69</v>
      </c>
      <c r="GW5" s="23">
        <v>420</v>
      </c>
      <c r="GX5" s="23">
        <v>439.99</v>
      </c>
      <c r="GY5" s="23">
        <v>409.15</v>
      </c>
      <c r="GZ5" s="23">
        <v>500.72</v>
      </c>
      <c r="HA5" s="23">
        <v>456.04</v>
      </c>
      <c r="HB5" s="23">
        <v>448.81</v>
      </c>
      <c r="HC5" s="73">
        <f aca="true" t="shared" si="15" ref="HC5:HC23">SUM(GQ5:HB5)</f>
        <v>5094.85</v>
      </c>
      <c r="HD5" s="23">
        <v>447.1</v>
      </c>
      <c r="HE5" s="23">
        <v>388.5</v>
      </c>
      <c r="HF5" s="23">
        <v>471.14</v>
      </c>
      <c r="HG5" s="23">
        <v>444.35</v>
      </c>
      <c r="HH5" s="23">
        <v>437.92</v>
      </c>
      <c r="HI5" s="23">
        <v>396.7</v>
      </c>
      <c r="HJ5" s="23">
        <v>525.57</v>
      </c>
      <c r="HK5" s="23">
        <v>593.04</v>
      </c>
      <c r="HL5" s="23">
        <v>663.04</v>
      </c>
      <c r="HM5" s="23">
        <v>755.22</v>
      </c>
      <c r="HN5" s="23">
        <v>694.05</v>
      </c>
      <c r="HO5" s="23">
        <v>532.05</v>
      </c>
      <c r="HP5" s="73">
        <f aca="true" t="shared" si="16" ref="HP5:HP23">SUM(HD5:HO5)</f>
        <v>6348.680000000001</v>
      </c>
      <c r="HQ5" s="23">
        <v>596.56</v>
      </c>
      <c r="HR5" s="23">
        <v>557.48</v>
      </c>
      <c r="HS5" s="23">
        <v>412.99</v>
      </c>
      <c r="HT5" s="23">
        <v>287.43</v>
      </c>
      <c r="HU5" s="23">
        <v>560.67</v>
      </c>
      <c r="HV5" s="23">
        <v>442.3</v>
      </c>
      <c r="HW5" s="23">
        <v>681.78</v>
      </c>
      <c r="HX5" s="23">
        <v>575.51</v>
      </c>
      <c r="HY5" s="23">
        <v>524.87</v>
      </c>
      <c r="HZ5" s="23">
        <v>546.61</v>
      </c>
      <c r="IA5" s="23">
        <v>530.24</v>
      </c>
      <c r="IB5" s="23">
        <v>549.29</v>
      </c>
      <c r="IC5" s="73">
        <f aca="true" t="shared" si="17" ref="IC5:IC23">SUM(HQ5:IB5)</f>
        <v>6265.73</v>
      </c>
    </row>
    <row r="6" spans="1:237" s="1" customFormat="1" ht="30" customHeight="1" thickBot="1">
      <c r="A6" s="99"/>
      <c r="B6" s="101"/>
      <c r="C6" s="18" t="s">
        <v>14</v>
      </c>
      <c r="D6" s="7">
        <f>9.047+1.04+1.698</f>
        <v>11.785</v>
      </c>
      <c r="E6" s="7">
        <f>17.748+10.04+0.552</f>
        <v>28.34</v>
      </c>
      <c r="F6" s="7">
        <f>4.702+1.127</f>
        <v>5.829</v>
      </c>
      <c r="G6" s="7">
        <f>19.415+0.585+1.127</f>
        <v>21.127</v>
      </c>
      <c r="H6" s="7">
        <f>18.691+1.01+0.299</f>
        <v>20</v>
      </c>
      <c r="I6" s="7">
        <f>5.772+0.75+0.28</f>
        <v>6.8020000000000005</v>
      </c>
      <c r="J6" s="7">
        <f>18.205+0.45+1.435</f>
        <v>20.089999999999996</v>
      </c>
      <c r="K6" s="7">
        <f>17.0191+1.805+1.576</f>
        <v>20.400100000000002</v>
      </c>
      <c r="L6" s="7">
        <v>20</v>
      </c>
      <c r="M6" s="7">
        <f>18.05+1.65+2.3</f>
        <v>22</v>
      </c>
      <c r="N6" s="7"/>
      <c r="O6" s="7">
        <f>18.4+2.1</f>
        <v>20.5</v>
      </c>
      <c r="P6" s="66">
        <f t="shared" si="0"/>
        <v>196.87310000000002</v>
      </c>
      <c r="Q6" s="12">
        <f>18.9+1.085</f>
        <v>19.985</v>
      </c>
      <c r="R6" s="12">
        <f>4.513+0.05</f>
        <v>4.563</v>
      </c>
      <c r="S6" s="12">
        <f>3.59+1.76</f>
        <v>5.35</v>
      </c>
      <c r="T6" s="12">
        <f>17.85+2.15</f>
        <v>20</v>
      </c>
      <c r="U6" s="12">
        <f>19.025+0.975</f>
        <v>20</v>
      </c>
      <c r="V6" s="12">
        <v>5</v>
      </c>
      <c r="W6" s="12">
        <v>0.971</v>
      </c>
      <c r="X6" s="12">
        <f>8.867+1.715</f>
        <v>10.582</v>
      </c>
      <c r="Y6" s="12">
        <f>19.46+0.54</f>
        <v>20</v>
      </c>
      <c r="Z6" s="12">
        <f>194.555+0.545</f>
        <v>195.1</v>
      </c>
      <c r="AA6" s="12">
        <f>3.64+0.255</f>
        <v>3.895</v>
      </c>
      <c r="AB6" s="12">
        <f>18.235+1.765</f>
        <v>20</v>
      </c>
      <c r="AC6" s="81">
        <f t="shared" si="1"/>
        <v>325.44599999999997</v>
      </c>
      <c r="AD6" s="24">
        <f>15.735+0.015</f>
        <v>15.75</v>
      </c>
      <c r="AE6" s="24">
        <f>3.08+0.695</f>
        <v>3.775</v>
      </c>
      <c r="AF6" s="24">
        <f>18.675+1.325</f>
        <v>20</v>
      </c>
      <c r="AG6" s="24">
        <v>4.005</v>
      </c>
      <c r="AH6" s="24">
        <v>17</v>
      </c>
      <c r="AI6" s="24">
        <v>4.183</v>
      </c>
      <c r="AJ6" s="24">
        <f>19.395+0.605</f>
        <v>20</v>
      </c>
      <c r="AK6" s="24">
        <f>18.69+0.01</f>
        <v>18.700000000000003</v>
      </c>
      <c r="AL6" s="24">
        <v>4.55</v>
      </c>
      <c r="AM6" s="24">
        <f>17.703+1.647</f>
        <v>19.349999999999998</v>
      </c>
      <c r="AN6" s="24">
        <v>3.78</v>
      </c>
      <c r="AO6" s="24">
        <f>16.422+3.578</f>
        <v>20</v>
      </c>
      <c r="AP6" s="74">
        <f t="shared" si="2"/>
        <v>151.093</v>
      </c>
      <c r="AQ6" s="24">
        <f>18.636+0.064</f>
        <v>18.7</v>
      </c>
      <c r="AR6" s="24">
        <f>1.41+1.135</f>
        <v>2.545</v>
      </c>
      <c r="AS6" s="24">
        <f>18.378+0.655</f>
        <v>19.033</v>
      </c>
      <c r="AT6" s="24">
        <v>19.033</v>
      </c>
      <c r="AU6" s="24">
        <v>3.293</v>
      </c>
      <c r="AV6" s="24">
        <v>19.033</v>
      </c>
      <c r="AW6" s="24">
        <f>17.92+1.015+0.098</f>
        <v>19.033</v>
      </c>
      <c r="AX6" s="24">
        <v>2.664</v>
      </c>
      <c r="AY6" s="24">
        <v>19.533</v>
      </c>
      <c r="AZ6" s="24">
        <v>3.5</v>
      </c>
      <c r="BA6" s="24">
        <f>18.053+1+9.64</f>
        <v>28.693</v>
      </c>
      <c r="BB6" s="24">
        <f>3.1+7.82</f>
        <v>10.92</v>
      </c>
      <c r="BC6" s="74">
        <f t="shared" si="3"/>
        <v>165.98</v>
      </c>
      <c r="BD6" s="24">
        <f>18.084+0.449</f>
        <v>18.533</v>
      </c>
      <c r="BE6" s="24">
        <v>18.533</v>
      </c>
      <c r="BF6" s="24">
        <v>2.994</v>
      </c>
      <c r="BG6" s="24">
        <f>16.032+1.5+10.152</f>
        <v>27.683999999999997</v>
      </c>
      <c r="BH6" s="24">
        <v>18.833</v>
      </c>
      <c r="BI6" s="24">
        <v>3</v>
      </c>
      <c r="BJ6" s="24">
        <f>14.385+0.7+0.798</f>
        <v>15.883</v>
      </c>
      <c r="BK6" s="24">
        <v>6.664</v>
      </c>
      <c r="BL6" s="24">
        <f>18.518+0.015</f>
        <v>18.533</v>
      </c>
      <c r="BM6" s="24">
        <v>17.033</v>
      </c>
      <c r="BN6" s="24">
        <v>3</v>
      </c>
      <c r="BO6" s="24">
        <v>15.533</v>
      </c>
      <c r="BP6" s="74">
        <f t="shared" si="4"/>
        <v>166.22299999999998</v>
      </c>
      <c r="BQ6" s="24">
        <v>16.6</v>
      </c>
      <c r="BR6" s="24">
        <v>2.495</v>
      </c>
      <c r="BS6" s="24">
        <v>16.5</v>
      </c>
      <c r="BT6" s="24">
        <v>2.545</v>
      </c>
      <c r="BU6" s="24">
        <f>15.071+1.029</f>
        <v>16.1</v>
      </c>
      <c r="BV6" s="24">
        <v>12.5</v>
      </c>
      <c r="BW6" s="24">
        <f>12.498+0.002</f>
        <v>12.5</v>
      </c>
      <c r="BX6" s="24">
        <v>13.65</v>
      </c>
      <c r="BY6" s="24">
        <v>12.95</v>
      </c>
      <c r="BZ6" s="24">
        <v>15</v>
      </c>
      <c r="CA6" s="24">
        <v>15.45</v>
      </c>
      <c r="CB6" s="24">
        <v>14.1</v>
      </c>
      <c r="CC6" s="74">
        <f t="shared" si="5"/>
        <v>150.39000000000001</v>
      </c>
      <c r="CD6" s="27">
        <v>12.5</v>
      </c>
      <c r="CE6" s="26">
        <v>2.776</v>
      </c>
      <c r="CF6" s="27">
        <v>1.557</v>
      </c>
      <c r="CG6" s="27">
        <v>18</v>
      </c>
      <c r="CH6" s="27">
        <v>8.35</v>
      </c>
      <c r="CI6" s="27">
        <v>15.73</v>
      </c>
      <c r="CJ6" s="27">
        <v>19.2</v>
      </c>
      <c r="CK6" s="27">
        <v>14.55</v>
      </c>
      <c r="CL6" s="27">
        <v>15.2</v>
      </c>
      <c r="CM6" s="27">
        <v>21.5</v>
      </c>
      <c r="CN6" s="42"/>
      <c r="CO6" s="27">
        <v>20</v>
      </c>
      <c r="CP6" s="74">
        <f t="shared" si="6"/>
        <v>149.363</v>
      </c>
      <c r="CQ6" s="24">
        <v>14.44</v>
      </c>
      <c r="CR6" s="24">
        <v>6.6</v>
      </c>
      <c r="CS6" s="24">
        <v>11.65</v>
      </c>
      <c r="CT6" s="24">
        <v>6.6</v>
      </c>
      <c r="CU6" s="24">
        <v>13.2</v>
      </c>
      <c r="CV6" s="24">
        <v>18.24</v>
      </c>
      <c r="CW6" s="24">
        <v>13.2</v>
      </c>
      <c r="CX6" s="24">
        <v>13.2</v>
      </c>
      <c r="CY6" s="24">
        <v>6.55</v>
      </c>
      <c r="CZ6" s="24">
        <v>19.8</v>
      </c>
      <c r="DA6" s="24">
        <v>6.6</v>
      </c>
      <c r="DB6" s="24">
        <v>19.79</v>
      </c>
      <c r="DC6" s="74">
        <f t="shared" si="7"/>
        <v>149.86999999999998</v>
      </c>
      <c r="DD6" s="24">
        <v>6.75</v>
      </c>
      <c r="DE6" s="24">
        <v>20.3</v>
      </c>
      <c r="DF6" s="24">
        <v>28.49</v>
      </c>
      <c r="DG6" s="24">
        <v>18.36</v>
      </c>
      <c r="DH6" s="24">
        <v>5.18</v>
      </c>
      <c r="DI6" s="24">
        <v>19.8</v>
      </c>
      <c r="DJ6" s="24">
        <v>18.6</v>
      </c>
      <c r="DK6" s="24">
        <v>6.6</v>
      </c>
      <c r="DL6" s="24">
        <v>19.8</v>
      </c>
      <c r="DM6" s="24">
        <v>6.6</v>
      </c>
      <c r="DN6" s="24">
        <v>19.8</v>
      </c>
      <c r="DO6" s="24">
        <v>13.2</v>
      </c>
      <c r="DP6" s="74">
        <f t="shared" si="8"/>
        <v>183.48000000000002</v>
      </c>
      <c r="DQ6" s="24">
        <v>6.6</v>
      </c>
      <c r="DR6" s="24">
        <v>13.2</v>
      </c>
      <c r="DS6" s="24">
        <v>13.2</v>
      </c>
      <c r="DT6" s="24">
        <v>13.2</v>
      </c>
      <c r="DU6" s="24">
        <v>13.2</v>
      </c>
      <c r="DV6" s="24">
        <v>13.2</v>
      </c>
      <c r="DW6" s="24">
        <v>13.2</v>
      </c>
      <c r="DX6" s="24">
        <v>13.2</v>
      </c>
      <c r="DY6" s="24">
        <v>17.15</v>
      </c>
      <c r="DZ6" s="24">
        <v>19.2</v>
      </c>
      <c r="EA6" s="24">
        <v>18.8</v>
      </c>
      <c r="EB6" s="24">
        <v>6.6</v>
      </c>
      <c r="EC6" s="74">
        <f t="shared" si="9"/>
        <v>160.75</v>
      </c>
      <c r="ED6" s="24">
        <v>13.2</v>
      </c>
      <c r="EE6" s="24">
        <v>25.84</v>
      </c>
      <c r="EF6" s="24">
        <v>13.2</v>
      </c>
      <c r="EG6" s="24">
        <v>6.6</v>
      </c>
      <c r="EH6" s="24">
        <v>19.8</v>
      </c>
      <c r="EI6" s="24">
        <v>17.85</v>
      </c>
      <c r="EJ6" s="24">
        <v>19.8</v>
      </c>
      <c r="EK6" s="24">
        <v>15.46</v>
      </c>
      <c r="EL6" s="24">
        <v>33.71</v>
      </c>
      <c r="EM6" s="24">
        <v>13.59</v>
      </c>
      <c r="EN6" s="24">
        <v>21.53</v>
      </c>
      <c r="EO6" s="24">
        <v>19.8</v>
      </c>
      <c r="EP6" s="74">
        <f t="shared" si="10"/>
        <v>220.38000000000002</v>
      </c>
      <c r="EQ6" s="24">
        <v>19.8</v>
      </c>
      <c r="ER6" s="24">
        <v>6.6</v>
      </c>
      <c r="ES6" s="24">
        <v>13.2</v>
      </c>
      <c r="ET6" s="24">
        <v>13.2</v>
      </c>
      <c r="EU6" s="24">
        <v>6.6</v>
      </c>
      <c r="EV6" s="24">
        <v>19.2</v>
      </c>
      <c r="EW6" s="24">
        <v>13.2</v>
      </c>
      <c r="EX6" s="24">
        <v>13.2</v>
      </c>
      <c r="EY6" s="24">
        <v>19.8</v>
      </c>
      <c r="EZ6" s="24">
        <v>12.9</v>
      </c>
      <c r="FA6" s="24">
        <v>13.2</v>
      </c>
      <c r="FB6" s="24">
        <v>13.58</v>
      </c>
      <c r="FC6" s="74">
        <f t="shared" si="11"/>
        <v>164.48</v>
      </c>
      <c r="FD6" s="24">
        <v>13</v>
      </c>
      <c r="FE6" s="24">
        <v>14.36</v>
      </c>
      <c r="FF6" s="24">
        <v>5.28</v>
      </c>
      <c r="FG6" s="24">
        <v>20</v>
      </c>
      <c r="FH6" s="24">
        <v>14.78</v>
      </c>
      <c r="FI6" s="24">
        <v>13.33</v>
      </c>
      <c r="FJ6" s="24">
        <v>15</v>
      </c>
      <c r="FK6" s="24">
        <v>14.1</v>
      </c>
      <c r="FL6" s="24">
        <v>19</v>
      </c>
      <c r="FM6" s="24">
        <v>8</v>
      </c>
      <c r="FN6" s="24">
        <v>21.6</v>
      </c>
      <c r="FO6" s="24">
        <v>12.7</v>
      </c>
      <c r="FP6" s="74">
        <f t="shared" si="12"/>
        <v>171.14999999999998</v>
      </c>
      <c r="FQ6" s="24">
        <v>9.2</v>
      </c>
      <c r="FR6" s="24">
        <v>12.1</v>
      </c>
      <c r="FS6" s="24">
        <v>12.3</v>
      </c>
      <c r="FT6" s="24">
        <v>15.8</v>
      </c>
      <c r="FU6" s="24">
        <v>10.67</v>
      </c>
      <c r="FV6" s="24">
        <v>8.6</v>
      </c>
      <c r="FW6" s="24">
        <v>13</v>
      </c>
      <c r="FX6" s="24">
        <v>12.8</v>
      </c>
      <c r="FY6" s="24">
        <v>9</v>
      </c>
      <c r="FZ6" s="24">
        <v>18.7</v>
      </c>
      <c r="GA6" s="24">
        <v>21</v>
      </c>
      <c r="GB6" s="24">
        <v>0</v>
      </c>
      <c r="GC6" s="74">
        <f t="shared" si="13"/>
        <v>143.17</v>
      </c>
      <c r="GD6" s="24">
        <v>21.8</v>
      </c>
      <c r="GE6" s="24">
        <v>10.6</v>
      </c>
      <c r="GF6" s="24">
        <v>12.3</v>
      </c>
      <c r="GG6" s="24">
        <v>21.82</v>
      </c>
      <c r="GH6" s="24">
        <v>11.2</v>
      </c>
      <c r="GI6" s="24">
        <v>9.3</v>
      </c>
      <c r="GJ6" s="24">
        <v>13.25</v>
      </c>
      <c r="GK6" s="24">
        <v>25.1</v>
      </c>
      <c r="GL6" s="24">
        <v>9.4</v>
      </c>
      <c r="GM6" s="24">
        <v>11.7</v>
      </c>
      <c r="GN6" s="24">
        <v>8.8</v>
      </c>
      <c r="GO6" s="24">
        <v>12.7</v>
      </c>
      <c r="GP6" s="74">
        <f t="shared" si="14"/>
        <v>167.97</v>
      </c>
      <c r="GQ6" s="24">
        <v>10.8</v>
      </c>
      <c r="GR6" s="24">
        <v>11</v>
      </c>
      <c r="GS6" s="24">
        <v>25</v>
      </c>
      <c r="GT6" s="24">
        <v>0</v>
      </c>
      <c r="GU6" s="24">
        <v>24.9</v>
      </c>
      <c r="GV6" s="24">
        <v>0</v>
      </c>
      <c r="GW6" s="24">
        <v>25.2</v>
      </c>
      <c r="GX6" s="24">
        <v>12.2</v>
      </c>
      <c r="GY6" s="24">
        <v>11.4</v>
      </c>
      <c r="GZ6" s="24">
        <v>21.1</v>
      </c>
      <c r="HA6" s="24">
        <v>9.52</v>
      </c>
      <c r="HB6" s="24">
        <v>13.9</v>
      </c>
      <c r="HC6" s="74">
        <f t="shared" si="15"/>
        <v>165.02</v>
      </c>
      <c r="HD6" s="24">
        <v>14.56</v>
      </c>
      <c r="HE6" s="24">
        <v>11</v>
      </c>
      <c r="HF6" s="24">
        <v>25.8</v>
      </c>
      <c r="HG6" s="24">
        <v>12.5</v>
      </c>
      <c r="HH6" s="24">
        <v>14</v>
      </c>
      <c r="HI6" s="24">
        <v>9</v>
      </c>
      <c r="HJ6" s="24">
        <v>20.9</v>
      </c>
      <c r="HK6" s="24">
        <v>11.25</v>
      </c>
      <c r="HL6" s="24">
        <v>15.88</v>
      </c>
      <c r="HM6" s="24">
        <v>21.4</v>
      </c>
      <c r="HN6" s="24">
        <v>15.45</v>
      </c>
      <c r="HO6" s="24">
        <v>16.57</v>
      </c>
      <c r="HP6" s="74">
        <f t="shared" si="16"/>
        <v>188.30999999999997</v>
      </c>
      <c r="HQ6" s="24">
        <v>14</v>
      </c>
      <c r="HR6" s="24">
        <v>10.75</v>
      </c>
      <c r="HS6" s="24">
        <v>14.1</v>
      </c>
      <c r="HT6" s="24">
        <v>14</v>
      </c>
      <c r="HU6" s="24">
        <v>18.2</v>
      </c>
      <c r="HV6" s="24">
        <v>12.6</v>
      </c>
      <c r="HW6" s="24">
        <v>14.1</v>
      </c>
      <c r="HX6" s="24">
        <v>14.23</v>
      </c>
      <c r="HY6" s="24">
        <v>24.32</v>
      </c>
      <c r="HZ6" s="24">
        <v>10.05</v>
      </c>
      <c r="IA6" s="24">
        <v>18.1</v>
      </c>
      <c r="IB6" s="24">
        <v>5.4</v>
      </c>
      <c r="IC6" s="74">
        <f t="shared" si="17"/>
        <v>169.85</v>
      </c>
    </row>
    <row r="7" spans="1:237" s="1" customFormat="1" ht="30" customHeight="1" thickBot="1">
      <c r="A7" s="99"/>
      <c r="B7" s="102"/>
      <c r="C7" s="8" t="s">
        <v>11</v>
      </c>
      <c r="D7" s="9">
        <f>SUM(D5:D6)</f>
        <v>178.605</v>
      </c>
      <c r="E7" s="9">
        <f aca="true" t="shared" si="18" ref="E7:O7">SUM(E5:E6)</f>
        <v>123.05</v>
      </c>
      <c r="F7" s="9">
        <f t="shared" si="18"/>
        <v>40.249</v>
      </c>
      <c r="G7" s="9">
        <f t="shared" si="18"/>
        <v>183.637</v>
      </c>
      <c r="H7" s="9">
        <f t="shared" si="18"/>
        <v>265.9</v>
      </c>
      <c r="I7" s="9">
        <f t="shared" si="18"/>
        <v>239.362</v>
      </c>
      <c r="J7" s="9">
        <f t="shared" si="18"/>
        <v>272.37</v>
      </c>
      <c r="K7" s="9">
        <f t="shared" si="18"/>
        <v>220.5701</v>
      </c>
      <c r="L7" s="9">
        <f t="shared" si="18"/>
        <v>209</v>
      </c>
      <c r="M7" s="9">
        <f t="shared" si="18"/>
        <v>98.49</v>
      </c>
      <c r="N7" s="9"/>
      <c r="O7" s="9">
        <f t="shared" si="18"/>
        <v>153.89</v>
      </c>
      <c r="P7" s="67">
        <f t="shared" si="0"/>
        <v>1985.1230999999998</v>
      </c>
      <c r="Q7" s="31">
        <f>SUM(Q5:Q6)</f>
        <v>188.325</v>
      </c>
      <c r="R7" s="31">
        <f aca="true" t="shared" si="19" ref="R7:AB7">SUM(R5:R6)</f>
        <v>180.563</v>
      </c>
      <c r="S7" s="31">
        <f t="shared" si="19"/>
        <v>196.82</v>
      </c>
      <c r="T7" s="31">
        <f t="shared" si="19"/>
        <v>20</v>
      </c>
      <c r="U7" s="31">
        <f t="shared" si="19"/>
        <v>20</v>
      </c>
      <c r="V7" s="31">
        <f t="shared" si="19"/>
        <v>218.97</v>
      </c>
      <c r="W7" s="31">
        <f t="shared" si="19"/>
        <v>200.381</v>
      </c>
      <c r="X7" s="31">
        <f t="shared" si="19"/>
        <v>171.552</v>
      </c>
      <c r="Y7" s="31">
        <f t="shared" si="19"/>
        <v>220.45</v>
      </c>
      <c r="Z7" s="31">
        <f t="shared" si="19"/>
        <v>374.77</v>
      </c>
      <c r="AA7" s="31">
        <f t="shared" si="19"/>
        <v>151.35500000000002</v>
      </c>
      <c r="AB7" s="31">
        <f t="shared" si="19"/>
        <v>80.64</v>
      </c>
      <c r="AC7" s="82">
        <f t="shared" si="1"/>
        <v>2023.826</v>
      </c>
      <c r="AD7" s="43">
        <f>SUM(AD5:AD6)</f>
        <v>75.72</v>
      </c>
      <c r="AE7" s="43">
        <f aca="true" t="shared" si="20" ref="AE7:AO7">SUM(AE5:AE6)</f>
        <v>160.175</v>
      </c>
      <c r="AF7" s="43">
        <f t="shared" si="20"/>
        <v>201.05</v>
      </c>
      <c r="AG7" s="43">
        <f t="shared" si="20"/>
        <v>156.385</v>
      </c>
      <c r="AH7" s="43">
        <f t="shared" si="20"/>
        <v>143.1</v>
      </c>
      <c r="AI7" s="43">
        <f t="shared" si="20"/>
        <v>109.983</v>
      </c>
      <c r="AJ7" s="43">
        <f t="shared" si="20"/>
        <v>153.64</v>
      </c>
      <c r="AK7" s="43">
        <f t="shared" si="20"/>
        <v>217.88</v>
      </c>
      <c r="AL7" s="43">
        <f t="shared" si="20"/>
        <v>216.03</v>
      </c>
      <c r="AM7" s="43">
        <f t="shared" si="20"/>
        <v>140.71</v>
      </c>
      <c r="AN7" s="43">
        <f t="shared" si="20"/>
        <v>119.41</v>
      </c>
      <c r="AO7" s="43">
        <f t="shared" si="20"/>
        <v>109.17</v>
      </c>
      <c r="AP7" s="75">
        <f t="shared" si="2"/>
        <v>1803.2530000000002</v>
      </c>
      <c r="AQ7" s="43">
        <f>SUM(AQ5:AQ6)</f>
        <v>106.31</v>
      </c>
      <c r="AR7" s="43">
        <f aca="true" t="shared" si="21" ref="AR7:BB7">SUM(AR5:AR6)</f>
        <v>77.745</v>
      </c>
      <c r="AS7" s="43">
        <f t="shared" si="21"/>
        <v>45.743</v>
      </c>
      <c r="AT7" s="43">
        <f t="shared" si="21"/>
        <v>49.123000000000005</v>
      </c>
      <c r="AU7" s="43">
        <f t="shared" si="21"/>
        <v>23.032999999999998</v>
      </c>
      <c r="AV7" s="43">
        <f t="shared" si="21"/>
        <v>42.223</v>
      </c>
      <c r="AW7" s="43">
        <f t="shared" si="21"/>
        <v>49.533</v>
      </c>
      <c r="AX7" s="43">
        <f t="shared" si="21"/>
        <v>31.284000000000002</v>
      </c>
      <c r="AY7" s="43">
        <f t="shared" si="21"/>
        <v>57.463</v>
      </c>
      <c r="AZ7" s="43">
        <f t="shared" si="21"/>
        <v>29.49</v>
      </c>
      <c r="BA7" s="43">
        <f t="shared" si="21"/>
        <v>74.063</v>
      </c>
      <c r="BB7" s="43">
        <f t="shared" si="21"/>
        <v>59.78</v>
      </c>
      <c r="BC7" s="75">
        <f t="shared" si="3"/>
        <v>645.7900000000001</v>
      </c>
      <c r="BD7" s="43">
        <f>SUM(BD5:BD6)</f>
        <v>50.863</v>
      </c>
      <c r="BE7" s="43">
        <f aca="true" t="shared" si="22" ref="BE7:BO7">SUM(BE5:BE6)</f>
        <v>56.943</v>
      </c>
      <c r="BF7" s="43">
        <f t="shared" si="22"/>
        <v>42.294</v>
      </c>
      <c r="BG7" s="43">
        <f t="shared" si="22"/>
        <v>48.67399999999999</v>
      </c>
      <c r="BH7" s="43">
        <f t="shared" si="22"/>
        <v>67.033</v>
      </c>
      <c r="BI7" s="43">
        <f t="shared" si="22"/>
        <v>43.52</v>
      </c>
      <c r="BJ7" s="43">
        <f t="shared" si="22"/>
        <v>29.872999999999998</v>
      </c>
      <c r="BK7" s="43">
        <f t="shared" si="22"/>
        <v>10.174</v>
      </c>
      <c r="BL7" s="43">
        <f t="shared" si="22"/>
        <v>67.733</v>
      </c>
      <c r="BM7" s="43">
        <f t="shared" si="22"/>
        <v>66.57300000000001</v>
      </c>
      <c r="BN7" s="43">
        <f t="shared" si="22"/>
        <v>97.68</v>
      </c>
      <c r="BO7" s="43">
        <f t="shared" si="22"/>
        <v>139.753</v>
      </c>
      <c r="BP7" s="75">
        <f t="shared" si="4"/>
        <v>721.1129999999998</v>
      </c>
      <c r="BQ7" s="43">
        <f>SUM(BQ5:BQ6)</f>
        <v>57.84</v>
      </c>
      <c r="BR7" s="43">
        <f aca="true" t="shared" si="23" ref="BR7:CB7">SUM(BR5:BR6)</f>
        <v>8.525</v>
      </c>
      <c r="BS7" s="43">
        <f t="shared" si="23"/>
        <v>30.32</v>
      </c>
      <c r="BT7" s="43">
        <f t="shared" si="23"/>
        <v>40.475</v>
      </c>
      <c r="BU7" s="43">
        <f t="shared" si="23"/>
        <v>53.71</v>
      </c>
      <c r="BV7" s="43">
        <f t="shared" si="23"/>
        <v>107.63</v>
      </c>
      <c r="BW7" s="43">
        <f t="shared" si="23"/>
        <v>59.85</v>
      </c>
      <c r="BX7" s="43">
        <f t="shared" si="23"/>
        <v>21.45</v>
      </c>
      <c r="BY7" s="43">
        <f t="shared" si="23"/>
        <v>26.46</v>
      </c>
      <c r="BZ7" s="43">
        <f t="shared" si="23"/>
        <v>61.54</v>
      </c>
      <c r="CA7" s="43">
        <f t="shared" si="23"/>
        <v>90.66</v>
      </c>
      <c r="CB7" s="43">
        <f t="shared" si="23"/>
        <v>23.869999999999997</v>
      </c>
      <c r="CC7" s="75">
        <f t="shared" si="5"/>
        <v>582.33</v>
      </c>
      <c r="CD7" s="43">
        <f>SUM(CD5:CD6)</f>
        <v>15.129999999999999</v>
      </c>
      <c r="CE7" s="43">
        <f aca="true" t="shared" si="24" ref="CE7:CO7">SUM(CE5:CE6)</f>
        <v>6.214</v>
      </c>
      <c r="CF7" s="43">
        <f t="shared" si="24"/>
        <v>11.813</v>
      </c>
      <c r="CG7" s="43">
        <f t="shared" si="24"/>
        <v>27.522</v>
      </c>
      <c r="CH7" s="43">
        <f t="shared" si="24"/>
        <v>11.7</v>
      </c>
      <c r="CI7" s="43">
        <f t="shared" si="24"/>
        <v>20.126</v>
      </c>
      <c r="CJ7" s="43">
        <f t="shared" si="24"/>
        <v>21.328</v>
      </c>
      <c r="CK7" s="43">
        <f t="shared" si="24"/>
        <v>15.445</v>
      </c>
      <c r="CL7" s="43">
        <f t="shared" si="24"/>
        <v>18.573</v>
      </c>
      <c r="CM7" s="43">
        <f t="shared" si="24"/>
        <v>25.789</v>
      </c>
      <c r="CN7" s="43">
        <f t="shared" si="24"/>
        <v>0</v>
      </c>
      <c r="CO7" s="43">
        <f t="shared" si="24"/>
        <v>22.092</v>
      </c>
      <c r="CP7" s="75">
        <f t="shared" si="6"/>
        <v>195.73200000000003</v>
      </c>
      <c r="CQ7" s="43">
        <f>SUM(CQ5:CQ6)</f>
        <v>55.58</v>
      </c>
      <c r="CR7" s="43">
        <f aca="true" t="shared" si="25" ref="CR7:DB7">SUM(CR5:CR6)</f>
        <v>40.26</v>
      </c>
      <c r="CS7" s="43">
        <f t="shared" si="25"/>
        <v>60.269999999999996</v>
      </c>
      <c r="CT7" s="43">
        <f t="shared" si="25"/>
        <v>25.299999999999997</v>
      </c>
      <c r="CU7" s="43">
        <f t="shared" si="25"/>
        <v>49.45</v>
      </c>
      <c r="CV7" s="43">
        <f t="shared" si="25"/>
        <v>71.48</v>
      </c>
      <c r="CW7" s="43">
        <f t="shared" si="25"/>
        <v>76.78</v>
      </c>
      <c r="CX7" s="43">
        <f t="shared" si="25"/>
        <v>70.17999999999999</v>
      </c>
      <c r="CY7" s="43">
        <f t="shared" si="25"/>
        <v>55.169999999999995</v>
      </c>
      <c r="CZ7" s="43">
        <f t="shared" si="25"/>
        <v>98.34</v>
      </c>
      <c r="DA7" s="43">
        <f t="shared" si="25"/>
        <v>47.74</v>
      </c>
      <c r="DB7" s="43">
        <f t="shared" si="25"/>
        <v>68.41</v>
      </c>
      <c r="DC7" s="75">
        <f t="shared" si="7"/>
        <v>718.96</v>
      </c>
      <c r="DD7" s="43">
        <f>SUM(DD5:DD6)</f>
        <v>59</v>
      </c>
      <c r="DE7" s="43">
        <f aca="true" t="shared" si="26" ref="DE7:DO7">SUM(DE5:DE6)</f>
        <v>68.76</v>
      </c>
      <c r="DF7" s="43">
        <f t="shared" si="26"/>
        <v>64.42999999999999</v>
      </c>
      <c r="DG7" s="43">
        <f t="shared" si="26"/>
        <v>59.57</v>
      </c>
      <c r="DH7" s="43">
        <f t="shared" si="26"/>
        <v>68.75999999999999</v>
      </c>
      <c r="DI7" s="43">
        <f t="shared" si="26"/>
        <v>109.8</v>
      </c>
      <c r="DJ7" s="43">
        <f t="shared" si="26"/>
        <v>70.96000000000001</v>
      </c>
      <c r="DK7" s="43">
        <f t="shared" si="26"/>
        <v>58.88</v>
      </c>
      <c r="DL7" s="43">
        <f t="shared" si="26"/>
        <v>68.42</v>
      </c>
      <c r="DM7" s="43">
        <f t="shared" si="26"/>
        <v>55.22</v>
      </c>
      <c r="DN7" s="43">
        <f t="shared" si="26"/>
        <v>81.62</v>
      </c>
      <c r="DO7" s="43">
        <f t="shared" si="26"/>
        <v>65.56</v>
      </c>
      <c r="DP7" s="75">
        <f t="shared" si="8"/>
        <v>830.98</v>
      </c>
      <c r="DQ7" s="43">
        <f>SUM(DQ5:DQ6)</f>
        <v>77.22</v>
      </c>
      <c r="DR7" s="43">
        <f aca="true" t="shared" si="27" ref="DR7:EB7">SUM(DR5:DR6)</f>
        <v>74.14</v>
      </c>
      <c r="DS7" s="43">
        <f t="shared" si="27"/>
        <v>32.230000000000004</v>
      </c>
      <c r="DT7" s="43">
        <f t="shared" si="27"/>
        <v>77.22</v>
      </c>
      <c r="DU7" s="43">
        <f t="shared" si="27"/>
        <v>88</v>
      </c>
      <c r="DV7" s="43">
        <f t="shared" si="27"/>
        <v>95.48</v>
      </c>
      <c r="DW7" s="43">
        <f t="shared" si="27"/>
        <v>95.48</v>
      </c>
      <c r="DX7" s="43">
        <f t="shared" si="27"/>
        <v>80.52</v>
      </c>
      <c r="DY7" s="43">
        <f t="shared" si="27"/>
        <v>114.16999999999999</v>
      </c>
      <c r="DZ7" s="43">
        <f t="shared" si="27"/>
        <v>111.82000000000001</v>
      </c>
      <c r="EA7" s="43">
        <f t="shared" si="27"/>
        <v>135.4</v>
      </c>
      <c r="EB7" s="43">
        <f t="shared" si="27"/>
        <v>133.76</v>
      </c>
      <c r="EC7" s="75">
        <f t="shared" si="9"/>
        <v>1115.44</v>
      </c>
      <c r="ED7" s="43">
        <f>SUM(ED5:ED6)</f>
        <v>106.7</v>
      </c>
      <c r="EE7" s="43">
        <f aca="true" t="shared" si="28" ref="EE7:EO7">SUM(EE5:EE6)</f>
        <v>139.14</v>
      </c>
      <c r="EF7" s="43">
        <f t="shared" si="28"/>
        <v>91.74000000000001</v>
      </c>
      <c r="EG7" s="43">
        <f t="shared" si="28"/>
        <v>85.14</v>
      </c>
      <c r="EH7" s="43">
        <f t="shared" si="28"/>
        <v>117.03999999999999</v>
      </c>
      <c r="EI7" s="43">
        <f t="shared" si="28"/>
        <v>134.01</v>
      </c>
      <c r="EJ7" s="43">
        <f t="shared" si="28"/>
        <v>143.22</v>
      </c>
      <c r="EK7" s="43">
        <f t="shared" si="28"/>
        <v>152.3</v>
      </c>
      <c r="EL7" s="43">
        <f t="shared" si="28"/>
        <v>150.48</v>
      </c>
      <c r="EM7" s="43">
        <f t="shared" si="28"/>
        <v>156.81</v>
      </c>
      <c r="EN7" s="43">
        <f t="shared" si="28"/>
        <v>170.86</v>
      </c>
      <c r="EO7" s="43">
        <f t="shared" si="28"/>
        <v>154.22</v>
      </c>
      <c r="EP7" s="75">
        <f t="shared" si="10"/>
        <v>1601.66</v>
      </c>
      <c r="EQ7" s="43">
        <f>SUM(EQ5:EQ6)</f>
        <v>180.18</v>
      </c>
      <c r="ER7" s="43">
        <f aca="true" t="shared" si="29" ref="ER7:FB7">SUM(ER5:ER6)</f>
        <v>138.82</v>
      </c>
      <c r="ES7" s="43">
        <f t="shared" si="29"/>
        <v>153.11999999999998</v>
      </c>
      <c r="ET7" s="43">
        <f t="shared" si="29"/>
        <v>190.51999999999998</v>
      </c>
      <c r="EU7" s="43">
        <f t="shared" si="29"/>
        <v>170.94</v>
      </c>
      <c r="EV7" s="43">
        <f t="shared" si="29"/>
        <v>194.32</v>
      </c>
      <c r="EW7" s="43">
        <f t="shared" si="29"/>
        <v>144.32</v>
      </c>
      <c r="EX7" s="43">
        <f t="shared" si="29"/>
        <v>175.33999999999997</v>
      </c>
      <c r="EY7" s="43">
        <f t="shared" si="29"/>
        <v>195.58</v>
      </c>
      <c r="EZ7" s="43">
        <f t="shared" si="29"/>
        <v>202.98000000000002</v>
      </c>
      <c r="FA7" s="43">
        <f t="shared" si="29"/>
        <v>189.2</v>
      </c>
      <c r="FB7" s="43">
        <f t="shared" si="29"/>
        <v>184.08</v>
      </c>
      <c r="FC7" s="75">
        <f t="shared" si="11"/>
        <v>2119.3999999999996</v>
      </c>
      <c r="FD7" s="43">
        <f>SUM(FD5:FD6)</f>
        <v>181.74</v>
      </c>
      <c r="FE7" s="43">
        <f aca="true" t="shared" si="30" ref="FE7:FO7">SUM(FE5:FE6)</f>
        <v>187.27999999999997</v>
      </c>
      <c r="FF7" s="43">
        <f t="shared" si="30"/>
        <v>219.37</v>
      </c>
      <c r="FG7" s="43">
        <f t="shared" si="30"/>
        <v>219.61</v>
      </c>
      <c r="FH7" s="43">
        <f t="shared" si="30"/>
        <v>214.5</v>
      </c>
      <c r="FI7" s="43">
        <f t="shared" si="30"/>
        <v>194.18</v>
      </c>
      <c r="FJ7" s="43">
        <f t="shared" si="30"/>
        <v>150.74</v>
      </c>
      <c r="FK7" s="43">
        <f t="shared" si="30"/>
        <v>182.18</v>
      </c>
      <c r="FL7" s="43">
        <f t="shared" si="30"/>
        <v>194.3</v>
      </c>
      <c r="FM7" s="43">
        <f t="shared" si="30"/>
        <v>183.07</v>
      </c>
      <c r="FN7" s="43">
        <f t="shared" si="30"/>
        <v>198.64</v>
      </c>
      <c r="FO7" s="43">
        <f t="shared" si="30"/>
        <v>188.48</v>
      </c>
      <c r="FP7" s="75">
        <f t="shared" si="12"/>
        <v>2314.09</v>
      </c>
      <c r="FQ7" s="43">
        <f>SUM(FQ5:FQ6)</f>
        <v>117.99000000000001</v>
      </c>
      <c r="FR7" s="43">
        <f aca="true" t="shared" si="31" ref="FR7:GB7">SUM(FR5:FR6)</f>
        <v>133.82</v>
      </c>
      <c r="FS7" s="43">
        <f t="shared" si="31"/>
        <v>117.02</v>
      </c>
      <c r="FT7" s="43">
        <f t="shared" si="31"/>
        <v>150.33</v>
      </c>
      <c r="FU7" s="43">
        <f t="shared" si="31"/>
        <v>141.55999999999997</v>
      </c>
      <c r="FV7" s="43">
        <f t="shared" si="31"/>
        <v>166.44</v>
      </c>
      <c r="FW7" s="43">
        <f t="shared" si="31"/>
        <v>138.4</v>
      </c>
      <c r="FX7" s="43">
        <f t="shared" si="31"/>
        <v>212.32000000000002</v>
      </c>
      <c r="FY7" s="43">
        <f t="shared" si="31"/>
        <v>260</v>
      </c>
      <c r="FZ7" s="43">
        <f t="shared" si="31"/>
        <v>358.28999999999996</v>
      </c>
      <c r="GA7" s="43">
        <f t="shared" si="31"/>
        <v>271.45</v>
      </c>
      <c r="GB7" s="43">
        <f t="shared" si="31"/>
        <v>255.88</v>
      </c>
      <c r="GC7" s="75">
        <f t="shared" si="13"/>
        <v>2323.5</v>
      </c>
      <c r="GD7" s="43">
        <f>SUM(GD5:GD6)</f>
        <v>279.52000000000004</v>
      </c>
      <c r="GE7" s="43">
        <f aca="true" t="shared" si="32" ref="GE7:GO7">SUM(GE5:GE6)</f>
        <v>300.63</v>
      </c>
      <c r="GF7" s="43">
        <f t="shared" si="32"/>
        <v>388.36</v>
      </c>
      <c r="GG7" s="43">
        <f t="shared" si="32"/>
        <v>354.88</v>
      </c>
      <c r="GH7" s="43">
        <f t="shared" si="32"/>
        <v>337.27</v>
      </c>
      <c r="GI7" s="43">
        <f t="shared" si="32"/>
        <v>288.06</v>
      </c>
      <c r="GJ7" s="43">
        <f t="shared" si="32"/>
        <v>309.24</v>
      </c>
      <c r="GK7" s="43">
        <f t="shared" si="32"/>
        <v>404.38</v>
      </c>
      <c r="GL7" s="43">
        <f t="shared" si="32"/>
        <v>313.66999999999996</v>
      </c>
      <c r="GM7" s="43">
        <f t="shared" si="32"/>
        <v>383.61</v>
      </c>
      <c r="GN7" s="43">
        <f t="shared" si="32"/>
        <v>396.25</v>
      </c>
      <c r="GO7" s="43">
        <f t="shared" si="32"/>
        <v>404.02</v>
      </c>
      <c r="GP7" s="75">
        <f t="shared" si="14"/>
        <v>4159.89</v>
      </c>
      <c r="GQ7" s="43">
        <f>SUM(GQ5:GQ6)</f>
        <v>381.65000000000003</v>
      </c>
      <c r="GR7" s="43">
        <f aca="true" t="shared" si="33" ref="GR7:HB7">SUM(GR5:GR6)</f>
        <v>337.07</v>
      </c>
      <c r="GS7" s="43">
        <f t="shared" si="33"/>
        <v>469.3</v>
      </c>
      <c r="GT7" s="43">
        <f t="shared" si="33"/>
        <v>348.85</v>
      </c>
      <c r="GU7" s="43">
        <f t="shared" si="33"/>
        <v>510.28</v>
      </c>
      <c r="GV7" s="43">
        <f t="shared" si="33"/>
        <v>444.69</v>
      </c>
      <c r="GW7" s="43">
        <f t="shared" si="33"/>
        <v>445.2</v>
      </c>
      <c r="GX7" s="43">
        <f t="shared" si="33"/>
        <v>452.19</v>
      </c>
      <c r="GY7" s="43">
        <f t="shared" si="33"/>
        <v>420.54999999999995</v>
      </c>
      <c r="GZ7" s="43">
        <f t="shared" si="33"/>
        <v>521.82</v>
      </c>
      <c r="HA7" s="43">
        <f t="shared" si="33"/>
        <v>465.56</v>
      </c>
      <c r="HB7" s="43">
        <f t="shared" si="33"/>
        <v>462.71</v>
      </c>
      <c r="HC7" s="75">
        <f t="shared" si="15"/>
        <v>5259.87</v>
      </c>
      <c r="HD7" s="43">
        <f>SUM(HD5:HD6)</f>
        <v>461.66</v>
      </c>
      <c r="HE7" s="43">
        <f aca="true" t="shared" si="34" ref="HE7:HO7">SUM(HE5:HE6)</f>
        <v>399.5</v>
      </c>
      <c r="HF7" s="43">
        <f t="shared" si="34"/>
        <v>496.94</v>
      </c>
      <c r="HG7" s="43">
        <f t="shared" si="34"/>
        <v>456.85</v>
      </c>
      <c r="HH7" s="43">
        <f t="shared" si="34"/>
        <v>451.92</v>
      </c>
      <c r="HI7" s="43">
        <f t="shared" si="34"/>
        <v>405.7</v>
      </c>
      <c r="HJ7" s="43">
        <f t="shared" si="34"/>
        <v>546.47</v>
      </c>
      <c r="HK7" s="43">
        <f t="shared" si="34"/>
        <v>604.29</v>
      </c>
      <c r="HL7" s="43">
        <f t="shared" si="34"/>
        <v>678.92</v>
      </c>
      <c r="HM7" s="43">
        <f t="shared" si="34"/>
        <v>776.62</v>
      </c>
      <c r="HN7" s="43">
        <f t="shared" si="34"/>
        <v>709.5</v>
      </c>
      <c r="HO7" s="43">
        <f t="shared" si="34"/>
        <v>548.62</v>
      </c>
      <c r="HP7" s="75">
        <f t="shared" si="16"/>
        <v>6536.99</v>
      </c>
      <c r="HQ7" s="43">
        <f>SUM(HQ5:HQ6)</f>
        <v>610.56</v>
      </c>
      <c r="HR7" s="43">
        <f aca="true" t="shared" si="35" ref="HR7:IB7">SUM(HR5:HR6)</f>
        <v>568.23</v>
      </c>
      <c r="HS7" s="43">
        <f t="shared" si="35"/>
        <v>427.09000000000003</v>
      </c>
      <c r="HT7" s="43">
        <f t="shared" si="35"/>
        <v>301.43</v>
      </c>
      <c r="HU7" s="43">
        <f t="shared" si="35"/>
        <v>578.87</v>
      </c>
      <c r="HV7" s="43">
        <f t="shared" si="35"/>
        <v>454.90000000000003</v>
      </c>
      <c r="HW7" s="43">
        <f t="shared" si="35"/>
        <v>695.88</v>
      </c>
      <c r="HX7" s="43">
        <f t="shared" si="35"/>
        <v>589.74</v>
      </c>
      <c r="HY7" s="43">
        <f t="shared" si="35"/>
        <v>549.19</v>
      </c>
      <c r="HZ7" s="43">
        <f t="shared" si="35"/>
        <v>556.66</v>
      </c>
      <c r="IA7" s="43">
        <f t="shared" si="35"/>
        <v>548.34</v>
      </c>
      <c r="IB7" s="43">
        <f t="shared" si="35"/>
        <v>554.6899999999999</v>
      </c>
      <c r="IC7" s="75">
        <f t="shared" si="17"/>
        <v>6435.580000000001</v>
      </c>
    </row>
    <row r="8" spans="1:237" s="1" customFormat="1" ht="30" customHeight="1">
      <c r="A8" s="99"/>
      <c r="B8" s="100" t="s">
        <v>8</v>
      </c>
      <c r="C8" s="17" t="s">
        <v>15</v>
      </c>
      <c r="D8" s="6">
        <v>282.6</v>
      </c>
      <c r="E8" s="6">
        <v>44.25</v>
      </c>
      <c r="F8" s="6">
        <v>88.75</v>
      </c>
      <c r="G8" s="6">
        <v>122.04</v>
      </c>
      <c r="H8" s="6">
        <v>203.89</v>
      </c>
      <c r="I8" s="6">
        <v>198.11</v>
      </c>
      <c r="J8" s="6">
        <v>189.79</v>
      </c>
      <c r="K8" s="6">
        <v>169.34</v>
      </c>
      <c r="L8" s="6">
        <v>137.97</v>
      </c>
      <c r="M8" s="6">
        <v>163.01</v>
      </c>
      <c r="N8" s="6"/>
      <c r="O8" s="6">
        <v>129.5</v>
      </c>
      <c r="P8" s="65">
        <f t="shared" si="0"/>
        <v>1729.25</v>
      </c>
      <c r="Q8" s="28">
        <v>268.04</v>
      </c>
      <c r="R8" s="28">
        <v>65.76</v>
      </c>
      <c r="S8" s="28">
        <v>76.66</v>
      </c>
      <c r="T8" s="28">
        <v>129.82</v>
      </c>
      <c r="U8" s="28">
        <v>161.56</v>
      </c>
      <c r="V8" s="28">
        <v>149.86</v>
      </c>
      <c r="W8" s="28">
        <v>153.87</v>
      </c>
      <c r="X8" s="28">
        <v>244.56</v>
      </c>
      <c r="Y8" s="28">
        <v>138.78</v>
      </c>
      <c r="Z8" s="28">
        <v>153.72</v>
      </c>
      <c r="AA8" s="28">
        <v>73.08</v>
      </c>
      <c r="AB8" s="28">
        <v>125.09</v>
      </c>
      <c r="AC8" s="80">
        <f t="shared" si="1"/>
        <v>1740.7999999999997</v>
      </c>
      <c r="AD8" s="23">
        <v>200.29</v>
      </c>
      <c r="AE8" s="23">
        <v>89.42</v>
      </c>
      <c r="AF8" s="23">
        <v>125.54</v>
      </c>
      <c r="AG8" s="23">
        <v>108.04</v>
      </c>
      <c r="AH8" s="23">
        <v>230.44</v>
      </c>
      <c r="AI8" s="23">
        <v>102.72</v>
      </c>
      <c r="AJ8" s="23">
        <v>70.6</v>
      </c>
      <c r="AK8" s="23">
        <v>243.29</v>
      </c>
      <c r="AL8" s="23">
        <v>85.64</v>
      </c>
      <c r="AM8" s="23">
        <v>89.23</v>
      </c>
      <c r="AN8" s="23">
        <v>38.8</v>
      </c>
      <c r="AO8" s="23">
        <f>136.25</f>
        <v>136.25</v>
      </c>
      <c r="AP8" s="73">
        <f t="shared" si="2"/>
        <v>1520.2600000000002</v>
      </c>
      <c r="AQ8" s="23">
        <v>13.01</v>
      </c>
      <c r="AR8" s="23">
        <v>13.52</v>
      </c>
      <c r="AS8" s="23">
        <v>19.74</v>
      </c>
      <c r="AT8" s="23">
        <f>64.99</f>
        <v>64.99</v>
      </c>
      <c r="AU8" s="23">
        <v>38.03</v>
      </c>
      <c r="AV8" s="23">
        <v>76.79</v>
      </c>
      <c r="AW8" s="23">
        <v>38.03</v>
      </c>
      <c r="AX8" s="23">
        <v>67.61</v>
      </c>
      <c r="AY8" s="23">
        <v>62.33</v>
      </c>
      <c r="AZ8" s="23">
        <v>45.32</v>
      </c>
      <c r="BA8" s="23">
        <v>42.29</v>
      </c>
      <c r="BB8" s="23">
        <v>59.58</v>
      </c>
      <c r="BC8" s="73">
        <f t="shared" si="3"/>
        <v>541.24</v>
      </c>
      <c r="BD8" s="23">
        <v>33.96</v>
      </c>
      <c r="BE8" s="23">
        <v>36.84</v>
      </c>
      <c r="BF8" s="23">
        <v>45.53</v>
      </c>
      <c r="BG8" s="23">
        <v>43.41</v>
      </c>
      <c r="BH8" s="23">
        <v>51.5</v>
      </c>
      <c r="BI8" s="23">
        <v>50.62</v>
      </c>
      <c r="BJ8" s="23">
        <v>39.11</v>
      </c>
      <c r="BK8" s="23">
        <v>44.84</v>
      </c>
      <c r="BL8" s="23">
        <v>50.41</v>
      </c>
      <c r="BM8" s="23">
        <v>41.16</v>
      </c>
      <c r="BN8" s="23">
        <v>45.77</v>
      </c>
      <c r="BO8" s="23">
        <v>43.14</v>
      </c>
      <c r="BP8" s="73">
        <f t="shared" si="4"/>
        <v>526.29</v>
      </c>
      <c r="BQ8" s="23">
        <v>38.62</v>
      </c>
      <c r="BR8" s="23">
        <v>37.37</v>
      </c>
      <c r="BS8" s="23">
        <v>45.4</v>
      </c>
      <c r="BT8" s="23">
        <v>49.77</v>
      </c>
      <c r="BU8" s="23">
        <v>46.76</v>
      </c>
      <c r="BV8" s="23">
        <v>45.37</v>
      </c>
      <c r="BW8" s="23">
        <v>50.21</v>
      </c>
      <c r="BX8" s="23">
        <v>51.49</v>
      </c>
      <c r="BY8" s="23">
        <v>42.13</v>
      </c>
      <c r="BZ8" s="23">
        <v>49.58</v>
      </c>
      <c r="CA8" s="23">
        <v>53.88</v>
      </c>
      <c r="CB8" s="23">
        <v>47.81</v>
      </c>
      <c r="CC8" s="73">
        <f t="shared" si="5"/>
        <v>558.3899999999999</v>
      </c>
      <c r="CD8" s="39">
        <v>17.81</v>
      </c>
      <c r="CE8" s="39">
        <v>94.79</v>
      </c>
      <c r="CF8" s="39">
        <v>68.09</v>
      </c>
      <c r="CG8" s="39">
        <v>61.91</v>
      </c>
      <c r="CH8" s="39">
        <v>92.52</v>
      </c>
      <c r="CI8" s="39">
        <v>7.56</v>
      </c>
      <c r="CJ8" s="39">
        <v>92.52</v>
      </c>
      <c r="CK8" s="39">
        <v>37.46</v>
      </c>
      <c r="CL8" s="39">
        <v>53.88</v>
      </c>
      <c r="CM8" s="39">
        <v>7.25</v>
      </c>
      <c r="CN8" s="40"/>
      <c r="CO8" s="39">
        <v>36.33</v>
      </c>
      <c r="CP8" s="73">
        <f t="shared" si="6"/>
        <v>570.12</v>
      </c>
      <c r="CQ8" s="23">
        <v>32.26</v>
      </c>
      <c r="CR8" s="23">
        <v>33.89</v>
      </c>
      <c r="CS8" s="23">
        <v>36.41</v>
      </c>
      <c r="CT8" s="23">
        <v>48.54</v>
      </c>
      <c r="CU8" s="23">
        <v>64.04</v>
      </c>
      <c r="CV8" s="23">
        <v>46</v>
      </c>
      <c r="CW8" s="23">
        <v>54.67</v>
      </c>
      <c r="CX8" s="23">
        <v>50.13</v>
      </c>
      <c r="CY8" s="23">
        <v>54.02</v>
      </c>
      <c r="CZ8" s="23">
        <v>80.81</v>
      </c>
      <c r="DA8" s="23">
        <v>34.33</v>
      </c>
      <c r="DB8" s="23">
        <v>63.73</v>
      </c>
      <c r="DC8" s="73">
        <f t="shared" si="7"/>
        <v>598.83</v>
      </c>
      <c r="DD8" s="23">
        <v>39.97</v>
      </c>
      <c r="DE8" s="23">
        <v>40.56</v>
      </c>
      <c r="DF8" s="23">
        <v>54.02</v>
      </c>
      <c r="DG8" s="23">
        <v>53.29</v>
      </c>
      <c r="DH8" s="23">
        <v>58.09</v>
      </c>
      <c r="DI8" s="23">
        <v>77.56</v>
      </c>
      <c r="DJ8" s="23">
        <v>53.38</v>
      </c>
      <c r="DK8" s="23">
        <v>49.41</v>
      </c>
      <c r="DL8" s="23">
        <v>53.35</v>
      </c>
      <c r="DM8" s="23">
        <v>66.76</v>
      </c>
      <c r="DN8" s="23">
        <v>65.14</v>
      </c>
      <c r="DO8" s="23">
        <v>53.46</v>
      </c>
      <c r="DP8" s="73">
        <f t="shared" si="8"/>
        <v>664.99</v>
      </c>
      <c r="DQ8" s="23">
        <v>49.74</v>
      </c>
      <c r="DR8" s="23">
        <v>49.15</v>
      </c>
      <c r="DS8" s="23">
        <v>57.18</v>
      </c>
      <c r="DT8" s="23">
        <v>61.92</v>
      </c>
      <c r="DU8" s="23">
        <v>69.61</v>
      </c>
      <c r="DV8" s="23">
        <v>76</v>
      </c>
      <c r="DW8" s="23">
        <v>90.3</v>
      </c>
      <c r="DX8" s="23">
        <v>70.21</v>
      </c>
      <c r="DY8" s="23">
        <v>100.87</v>
      </c>
      <c r="DZ8" s="23">
        <v>88.81</v>
      </c>
      <c r="EA8" s="23">
        <v>109.77</v>
      </c>
      <c r="EB8" s="23">
        <v>123.88</v>
      </c>
      <c r="EC8" s="73">
        <f t="shared" si="9"/>
        <v>947.4399999999999</v>
      </c>
      <c r="ED8" s="23">
        <v>58.65</v>
      </c>
      <c r="EE8" s="23">
        <v>156.01</v>
      </c>
      <c r="EF8" s="23">
        <v>69.44</v>
      </c>
      <c r="EG8" s="23">
        <v>87.19</v>
      </c>
      <c r="EH8" s="23">
        <v>102.33</v>
      </c>
      <c r="EI8" s="23">
        <v>116.99</v>
      </c>
      <c r="EJ8" s="23">
        <v>120.95</v>
      </c>
      <c r="EK8" s="23">
        <v>137.04</v>
      </c>
      <c r="EL8" s="23">
        <v>116.38</v>
      </c>
      <c r="EM8" s="23">
        <v>147.97</v>
      </c>
      <c r="EN8" s="23">
        <v>148.81</v>
      </c>
      <c r="EO8" s="23">
        <v>134.82</v>
      </c>
      <c r="EP8" s="73">
        <f t="shared" si="10"/>
        <v>1396.58</v>
      </c>
      <c r="EQ8" s="23">
        <v>159.61</v>
      </c>
      <c r="ER8" s="23">
        <v>127.69</v>
      </c>
      <c r="ES8" s="23">
        <v>145.35</v>
      </c>
      <c r="ET8" s="23">
        <v>177.27</v>
      </c>
      <c r="EU8" s="23">
        <v>164.05</v>
      </c>
      <c r="EV8" s="23">
        <v>163.37</v>
      </c>
      <c r="EW8" s="23">
        <v>124.46</v>
      </c>
      <c r="EX8" s="23">
        <v>179.27</v>
      </c>
      <c r="EY8" s="23">
        <v>172.79</v>
      </c>
      <c r="EZ8" s="23">
        <v>191.55</v>
      </c>
      <c r="FA8" s="23">
        <v>170.1</v>
      </c>
      <c r="FB8" s="23">
        <v>175.01</v>
      </c>
      <c r="FC8" s="73">
        <f t="shared" si="11"/>
        <v>1950.5199999999998</v>
      </c>
      <c r="FD8" s="23">
        <v>171.94</v>
      </c>
      <c r="FE8" s="23">
        <v>174.2</v>
      </c>
      <c r="FF8" s="23">
        <v>200.86</v>
      </c>
      <c r="FG8" s="23">
        <v>169.46</v>
      </c>
      <c r="FH8" s="23">
        <v>173.01</v>
      </c>
      <c r="FI8" s="23">
        <v>200.86</v>
      </c>
      <c r="FJ8" s="23">
        <v>136.38</v>
      </c>
      <c r="FK8" s="23">
        <v>172.21</v>
      </c>
      <c r="FL8" s="23">
        <v>166.39</v>
      </c>
      <c r="FM8" s="23">
        <v>163.45</v>
      </c>
      <c r="FN8" s="23">
        <v>191.08</v>
      </c>
      <c r="FO8" s="23">
        <v>153.05</v>
      </c>
      <c r="FP8" s="73">
        <f t="shared" si="12"/>
        <v>2072.89</v>
      </c>
      <c r="FQ8" s="23">
        <v>123.35</v>
      </c>
      <c r="FR8" s="23">
        <v>111.75</v>
      </c>
      <c r="FS8" s="23">
        <v>125.22</v>
      </c>
      <c r="FT8" s="23">
        <v>143.68</v>
      </c>
      <c r="FU8" s="23">
        <v>131.52</v>
      </c>
      <c r="FV8" s="23">
        <v>127.46</v>
      </c>
      <c r="FW8" s="23">
        <v>155.14</v>
      </c>
      <c r="FX8" s="23">
        <v>185.76</v>
      </c>
      <c r="FY8" s="23">
        <v>280.87</v>
      </c>
      <c r="FZ8" s="23">
        <v>277.1</v>
      </c>
      <c r="GA8" s="23">
        <v>259.39</v>
      </c>
      <c r="GB8" s="23">
        <v>246.56</v>
      </c>
      <c r="GC8" s="73">
        <f t="shared" si="13"/>
        <v>2167.7999999999997</v>
      </c>
      <c r="GD8" s="23">
        <v>263.96</v>
      </c>
      <c r="GE8" s="23">
        <v>283.3</v>
      </c>
      <c r="GF8" s="23">
        <v>436.32</v>
      </c>
      <c r="GG8" s="23">
        <v>297.28</v>
      </c>
      <c r="GH8" s="23">
        <v>297.36</v>
      </c>
      <c r="GI8" s="23">
        <v>308.46</v>
      </c>
      <c r="GJ8" s="23">
        <v>298.46</v>
      </c>
      <c r="GK8" s="23">
        <v>422.87</v>
      </c>
      <c r="GL8" s="23">
        <v>308.74</v>
      </c>
      <c r="GM8" s="23">
        <v>355.79</v>
      </c>
      <c r="GN8" s="23">
        <v>391.09</v>
      </c>
      <c r="GO8" s="23">
        <v>375.66</v>
      </c>
      <c r="GP8" s="73">
        <f t="shared" si="14"/>
        <v>4039.29</v>
      </c>
      <c r="GQ8" s="23">
        <v>382.54</v>
      </c>
      <c r="GR8" s="23">
        <v>307.38</v>
      </c>
      <c r="GS8" s="23">
        <v>465.08</v>
      </c>
      <c r="GT8" s="23">
        <v>351.63</v>
      </c>
      <c r="GU8" s="23">
        <v>455.01</v>
      </c>
      <c r="GV8" s="23">
        <v>396.35</v>
      </c>
      <c r="GW8" s="23">
        <v>490.37</v>
      </c>
      <c r="GX8" s="23">
        <v>451.36</v>
      </c>
      <c r="GY8" s="23">
        <v>399.94</v>
      </c>
      <c r="GZ8" s="23">
        <v>499.61</v>
      </c>
      <c r="HA8" s="23">
        <v>435.37</v>
      </c>
      <c r="HB8" s="23">
        <v>454.03</v>
      </c>
      <c r="HC8" s="73">
        <f t="shared" si="15"/>
        <v>5088.67</v>
      </c>
      <c r="HD8" s="23">
        <v>450.78</v>
      </c>
      <c r="HE8" s="23">
        <v>404.4</v>
      </c>
      <c r="HF8" s="23">
        <v>437.11</v>
      </c>
      <c r="HG8" s="23">
        <v>469.25</v>
      </c>
      <c r="HH8" s="23">
        <v>445.94</v>
      </c>
      <c r="HI8" s="23">
        <v>391.08</v>
      </c>
      <c r="HJ8" s="23">
        <v>505.87</v>
      </c>
      <c r="HK8" s="23">
        <v>617.22</v>
      </c>
      <c r="HL8" s="23">
        <v>607.64</v>
      </c>
      <c r="HM8" s="23">
        <v>770.21</v>
      </c>
      <c r="HN8" s="23">
        <v>556.81</v>
      </c>
      <c r="HO8" s="23">
        <v>483.94</v>
      </c>
      <c r="HP8" s="73">
        <f t="shared" si="16"/>
        <v>6140.249999999999</v>
      </c>
      <c r="HQ8" s="23">
        <v>570.98</v>
      </c>
      <c r="HR8" s="23">
        <v>420.43</v>
      </c>
      <c r="HS8" s="23">
        <v>410.84</v>
      </c>
      <c r="HT8" s="23">
        <v>484.55</v>
      </c>
      <c r="HU8" s="23">
        <v>683.71</v>
      </c>
      <c r="HV8" s="23">
        <v>481.89</v>
      </c>
      <c r="HW8" s="23">
        <v>608.76</v>
      </c>
      <c r="HX8" s="23">
        <v>491.8</v>
      </c>
      <c r="HY8" s="23">
        <v>646.04</v>
      </c>
      <c r="HZ8" s="23">
        <v>532.7</v>
      </c>
      <c r="IA8" s="23">
        <v>555.49</v>
      </c>
      <c r="IB8" s="23">
        <v>570.61</v>
      </c>
      <c r="IC8" s="73">
        <f t="shared" si="17"/>
        <v>6457.799999999999</v>
      </c>
    </row>
    <row r="9" spans="1:237" s="1" customFormat="1" ht="30" customHeight="1" thickBot="1">
      <c r="A9" s="99"/>
      <c r="B9" s="101"/>
      <c r="C9" s="18" t="s">
        <v>14</v>
      </c>
      <c r="D9" s="7">
        <f>20.169+0.865+2.369+0.85</f>
        <v>24.253</v>
      </c>
      <c r="E9" s="7">
        <f>2.464+0.145+0.01</f>
        <v>2.6189999999999998</v>
      </c>
      <c r="F9" s="7">
        <f>16.113+0.705+0.056+0.81</f>
        <v>17.683999999999997</v>
      </c>
      <c r="G9" s="7">
        <f>13.01+1.005+0.225+0.01</f>
        <v>14.25</v>
      </c>
      <c r="H9" s="7">
        <f>14.458+0.545+0.545+0.125</f>
        <v>15.673</v>
      </c>
      <c r="I9" s="7">
        <f>15.069+0.585+0.749+0.17</f>
        <v>16.573</v>
      </c>
      <c r="J9" s="7">
        <f>15.309+0.735+0.836+0.305</f>
        <v>17.185</v>
      </c>
      <c r="K9" s="7">
        <f>23.153+1.525+0.85+1.285</f>
        <v>26.813</v>
      </c>
      <c r="L9" s="7">
        <f>5.351+0.115+0.679+0.005</f>
        <v>6.15</v>
      </c>
      <c r="M9" s="7">
        <f>13.997+0.635+2.444+0.515</f>
        <v>17.591</v>
      </c>
      <c r="N9" s="7"/>
      <c r="O9" s="7">
        <f>16.649+1.585+1.341+0.16</f>
        <v>19.735000000000003</v>
      </c>
      <c r="P9" s="66">
        <f t="shared" si="0"/>
        <v>178.526</v>
      </c>
      <c r="Q9" s="12">
        <f>14.651+1.395+0.004</f>
        <v>16.05</v>
      </c>
      <c r="R9" s="12">
        <f>8.171+0.925+0.004</f>
        <v>9.1</v>
      </c>
      <c r="S9" s="12">
        <f>10.866+1.585</f>
        <v>12.451</v>
      </c>
      <c r="T9" s="12">
        <f>15.747+0.945</f>
        <v>16.692</v>
      </c>
      <c r="U9" s="12">
        <f>9.756+0.885</f>
        <v>10.641</v>
      </c>
      <c r="V9" s="12">
        <f>10.733+0.925</f>
        <v>11.658000000000001</v>
      </c>
      <c r="W9" s="12">
        <f>11.891+0.72</f>
        <v>12.611</v>
      </c>
      <c r="X9" s="12">
        <f>13.15+1.1</f>
        <v>14.25</v>
      </c>
      <c r="Y9" s="12">
        <f>11.339+1.18</f>
        <v>12.519</v>
      </c>
      <c r="Z9" s="12">
        <f>11.311+0.04</f>
        <v>11.350999999999999</v>
      </c>
      <c r="AA9" s="12">
        <f>13.903+2.69</f>
        <v>16.593</v>
      </c>
      <c r="AB9" s="12">
        <f>95.47+2.2</f>
        <v>97.67</v>
      </c>
      <c r="AC9" s="81">
        <f t="shared" si="1"/>
        <v>241.586</v>
      </c>
      <c r="AD9" s="24">
        <f>13.726+0.56</f>
        <v>14.286000000000001</v>
      </c>
      <c r="AE9" s="24">
        <f>10.625+0.935</f>
        <v>11.56</v>
      </c>
      <c r="AF9" s="24">
        <f>8.152+0.415</f>
        <v>8.566999999999998</v>
      </c>
      <c r="AG9" s="24">
        <v>12.897</v>
      </c>
      <c r="AH9" s="24">
        <v>11.908</v>
      </c>
      <c r="AI9" s="24">
        <v>15.593</v>
      </c>
      <c r="AJ9" s="24">
        <v>13.681</v>
      </c>
      <c r="AK9" s="24">
        <f>15.63+0.5</f>
        <v>16.130000000000003</v>
      </c>
      <c r="AL9" s="24">
        <v>10.967</v>
      </c>
      <c r="AM9" s="24">
        <v>11.433</v>
      </c>
      <c r="AN9" s="24">
        <v>11.724</v>
      </c>
      <c r="AO9" s="24">
        <v>12.121</v>
      </c>
      <c r="AP9" s="74">
        <f t="shared" si="2"/>
        <v>150.86700000000002</v>
      </c>
      <c r="AQ9" s="24">
        <f>12.063+0.075</f>
        <v>12.138</v>
      </c>
      <c r="AR9" s="24">
        <f>10.553+0.8</f>
        <v>11.353000000000002</v>
      </c>
      <c r="AS9" s="24">
        <f>13.599+0.465</f>
        <v>14.064</v>
      </c>
      <c r="AT9" s="24">
        <f>11.887+0.215</f>
        <v>12.102</v>
      </c>
      <c r="AU9" s="24">
        <f>11.987+0.05</f>
        <v>12.037</v>
      </c>
      <c r="AV9" s="24">
        <f>16.625+0.5</f>
        <v>17.125</v>
      </c>
      <c r="AW9" s="24">
        <f>11.987+0.05</f>
        <v>12.037</v>
      </c>
      <c r="AX9" s="24">
        <f>15.661+0.64</f>
        <v>16.301</v>
      </c>
      <c r="AY9" s="24">
        <f>10.792+0.01</f>
        <v>10.802</v>
      </c>
      <c r="AZ9" s="24">
        <f>98.7+0.066+9.22</f>
        <v>107.986</v>
      </c>
      <c r="BA9" s="24">
        <f>13.56+0.36+0.64</f>
        <v>14.56</v>
      </c>
      <c r="BB9" s="24">
        <f>11.899+0.24+0.28</f>
        <v>12.418999999999999</v>
      </c>
      <c r="BC9" s="74">
        <f t="shared" si="3"/>
        <v>252.924</v>
      </c>
      <c r="BD9" s="24">
        <f>10.293+0.015+0.124</f>
        <v>10.432</v>
      </c>
      <c r="BE9" s="24">
        <f>10.609+0.125+0.02</f>
        <v>10.754</v>
      </c>
      <c r="BF9" s="24">
        <f>13.374+0.09+0.001</f>
        <v>13.465</v>
      </c>
      <c r="BG9" s="24">
        <f>15.815+1.485+3.12</f>
        <v>20.42</v>
      </c>
      <c r="BH9" s="24">
        <f>8.808+0.046+0.53</f>
        <v>9.383999999999999</v>
      </c>
      <c r="BI9" s="24">
        <f>15.663+0.515+0.07</f>
        <v>16.248</v>
      </c>
      <c r="BJ9" s="24">
        <f>10.853+0.005+0.005</f>
        <v>10.863000000000001</v>
      </c>
      <c r="BK9" s="24">
        <f>12.822+0.05+0.09</f>
        <v>12.962</v>
      </c>
      <c r="BL9" s="24">
        <f>12.046+0.11+1.87</f>
        <v>14.026</v>
      </c>
      <c r="BM9" s="24">
        <f>9.465+0.035+0.01</f>
        <v>9.51</v>
      </c>
      <c r="BN9" s="24">
        <f>11.366+0.07</f>
        <v>11.436</v>
      </c>
      <c r="BO9" s="24">
        <f>11.71+0.01+0.01</f>
        <v>11.73</v>
      </c>
      <c r="BP9" s="74">
        <f t="shared" si="4"/>
        <v>151.23</v>
      </c>
      <c r="BQ9" s="24">
        <f>11.354+1.09</f>
        <v>12.443999999999999</v>
      </c>
      <c r="BR9" s="24">
        <f>10.7+0.07</f>
        <v>10.77</v>
      </c>
      <c r="BS9" s="24">
        <f>11.47+0.11</f>
        <v>11.58</v>
      </c>
      <c r="BT9" s="24">
        <f>13.19+1.01</f>
        <v>14.2</v>
      </c>
      <c r="BU9" s="24">
        <v>12.29</v>
      </c>
      <c r="BV9" s="24">
        <f>12.05+1.01</f>
        <v>13.06</v>
      </c>
      <c r="BW9" s="24">
        <v>1.12</v>
      </c>
      <c r="BX9" s="24">
        <v>14.32</v>
      </c>
      <c r="BY9" s="24">
        <f>10.82+0.02</f>
        <v>10.84</v>
      </c>
      <c r="BZ9" s="24">
        <f>12.385+0.05</f>
        <v>12.435</v>
      </c>
      <c r="CA9" s="24">
        <v>12.54</v>
      </c>
      <c r="CB9" s="24">
        <v>14.486</v>
      </c>
      <c r="CC9" s="74">
        <f t="shared" si="5"/>
        <v>140.08499999999998</v>
      </c>
      <c r="CD9" s="26">
        <v>12.486</v>
      </c>
      <c r="CE9" s="27">
        <v>12.74</v>
      </c>
      <c r="CF9" s="27">
        <v>12.27</v>
      </c>
      <c r="CG9" s="27">
        <v>13.72</v>
      </c>
      <c r="CH9" s="27">
        <v>15.57</v>
      </c>
      <c r="CI9" s="27">
        <v>21.92</v>
      </c>
      <c r="CJ9" s="27">
        <v>15.57</v>
      </c>
      <c r="CK9" s="27">
        <v>12.9</v>
      </c>
      <c r="CL9" s="27">
        <v>12.33</v>
      </c>
      <c r="CM9" s="27">
        <v>13.39</v>
      </c>
      <c r="CN9" s="42"/>
      <c r="CO9" s="27">
        <v>10.38</v>
      </c>
      <c r="CP9" s="74">
        <f t="shared" si="6"/>
        <v>153.276</v>
      </c>
      <c r="CQ9" s="24">
        <v>10.19</v>
      </c>
      <c r="CR9" s="24">
        <v>8.9</v>
      </c>
      <c r="CS9" s="24">
        <v>12.14</v>
      </c>
      <c r="CT9" s="24">
        <v>13.72</v>
      </c>
      <c r="CU9" s="24">
        <v>13.27</v>
      </c>
      <c r="CV9" s="24">
        <v>13.58</v>
      </c>
      <c r="CW9" s="24">
        <v>15.43</v>
      </c>
      <c r="CX9" s="24">
        <v>11.89</v>
      </c>
      <c r="CY9" s="24">
        <v>10.82</v>
      </c>
      <c r="CZ9" s="24">
        <v>13.85</v>
      </c>
      <c r="DA9" s="24">
        <v>11.16</v>
      </c>
      <c r="DB9" s="24">
        <v>13.72</v>
      </c>
      <c r="DC9" s="74">
        <f t="shared" si="7"/>
        <v>148.67</v>
      </c>
      <c r="DD9" s="24">
        <v>12.92</v>
      </c>
      <c r="DE9" s="24">
        <v>12.96</v>
      </c>
      <c r="DF9" s="24">
        <v>24.99</v>
      </c>
      <c r="DG9" s="24">
        <v>21.84</v>
      </c>
      <c r="DH9" s="24">
        <v>13.01</v>
      </c>
      <c r="DI9" s="24">
        <v>18.82</v>
      </c>
      <c r="DJ9" s="24">
        <v>11.55</v>
      </c>
      <c r="DK9" s="24">
        <v>12.17</v>
      </c>
      <c r="DL9" s="24">
        <v>12.91</v>
      </c>
      <c r="DM9" s="24">
        <v>13.3</v>
      </c>
      <c r="DN9" s="24">
        <v>14.27</v>
      </c>
      <c r="DO9" s="24">
        <v>13.65</v>
      </c>
      <c r="DP9" s="74">
        <f t="shared" si="8"/>
        <v>182.39000000000004</v>
      </c>
      <c r="DQ9" s="24">
        <v>12.25</v>
      </c>
      <c r="DR9" s="24">
        <v>10.79</v>
      </c>
      <c r="DS9" s="24">
        <v>13.45</v>
      </c>
      <c r="DT9" s="24">
        <v>12.93</v>
      </c>
      <c r="DU9" s="24">
        <v>13.61</v>
      </c>
      <c r="DV9" s="24">
        <v>12.9</v>
      </c>
      <c r="DW9" s="24">
        <v>15.08</v>
      </c>
      <c r="DX9" s="24">
        <v>10.61</v>
      </c>
      <c r="DY9" s="24">
        <v>16.73</v>
      </c>
      <c r="DZ9" s="24">
        <v>17.49</v>
      </c>
      <c r="EA9" s="24">
        <v>11.07</v>
      </c>
      <c r="EB9" s="24">
        <v>10.94</v>
      </c>
      <c r="EC9" s="74">
        <f t="shared" si="9"/>
        <v>157.85</v>
      </c>
      <c r="ED9" s="24">
        <v>15.56</v>
      </c>
      <c r="EE9" s="24">
        <v>12.11</v>
      </c>
      <c r="EF9" s="24">
        <v>12.73</v>
      </c>
      <c r="EG9" s="24">
        <v>13.48</v>
      </c>
      <c r="EH9" s="24">
        <v>14.7</v>
      </c>
      <c r="EI9" s="24">
        <v>14.98</v>
      </c>
      <c r="EJ9" s="24">
        <v>16.1</v>
      </c>
      <c r="EK9" s="24">
        <v>16.98</v>
      </c>
      <c r="EL9" s="24">
        <v>17.29</v>
      </c>
      <c r="EM9" s="24">
        <v>25.15</v>
      </c>
      <c r="EN9" s="24">
        <v>52.72</v>
      </c>
      <c r="EO9" s="24">
        <v>12.27</v>
      </c>
      <c r="EP9" s="74">
        <f t="shared" si="10"/>
        <v>224.07000000000005</v>
      </c>
      <c r="EQ9" s="24">
        <v>15.37</v>
      </c>
      <c r="ER9" s="24">
        <v>11.14</v>
      </c>
      <c r="ES9" s="24">
        <v>14.14</v>
      </c>
      <c r="ET9" s="24">
        <v>13.6</v>
      </c>
      <c r="EU9" s="24">
        <v>13.81</v>
      </c>
      <c r="EV9" s="24">
        <v>14.53</v>
      </c>
      <c r="EW9" s="24">
        <v>12.92</v>
      </c>
      <c r="EX9" s="24">
        <v>14.96</v>
      </c>
      <c r="EY9" s="24">
        <v>14.87</v>
      </c>
      <c r="EZ9" s="24">
        <v>13.37</v>
      </c>
      <c r="FA9" s="24">
        <v>14.71</v>
      </c>
      <c r="FB9" s="24">
        <v>14.23</v>
      </c>
      <c r="FC9" s="74">
        <f t="shared" si="11"/>
        <v>167.65</v>
      </c>
      <c r="FD9" s="24">
        <v>14.34</v>
      </c>
      <c r="FE9" s="24">
        <v>11.38</v>
      </c>
      <c r="FF9" s="24">
        <v>12.22</v>
      </c>
      <c r="FG9" s="24">
        <v>17.45</v>
      </c>
      <c r="FH9" s="24">
        <v>14.47</v>
      </c>
      <c r="FI9" s="24">
        <v>13.71</v>
      </c>
      <c r="FJ9" s="24">
        <v>11.61</v>
      </c>
      <c r="FK9" s="24">
        <v>13.91</v>
      </c>
      <c r="FL9" s="24">
        <v>14.08</v>
      </c>
      <c r="FM9" s="24">
        <v>15.06</v>
      </c>
      <c r="FN9" s="24">
        <v>11.93</v>
      </c>
      <c r="FO9" s="24">
        <v>12.06</v>
      </c>
      <c r="FP9" s="74">
        <f t="shared" si="12"/>
        <v>162.22</v>
      </c>
      <c r="FQ9" s="24">
        <v>14.21</v>
      </c>
      <c r="FR9" s="24">
        <v>10.4</v>
      </c>
      <c r="FS9" s="24">
        <v>12.72</v>
      </c>
      <c r="FT9" s="24">
        <v>14.82</v>
      </c>
      <c r="FU9" s="24">
        <v>13.99</v>
      </c>
      <c r="FV9" s="24">
        <v>12.85</v>
      </c>
      <c r="FW9" s="24">
        <v>13.41</v>
      </c>
      <c r="FX9" s="24">
        <v>12.87</v>
      </c>
      <c r="FY9" s="24">
        <v>13.21</v>
      </c>
      <c r="FZ9" s="24">
        <v>15.07</v>
      </c>
      <c r="GA9" s="24">
        <v>12.91</v>
      </c>
      <c r="GB9" s="24">
        <v>11.98</v>
      </c>
      <c r="GC9" s="74">
        <f>SUM(FQ9:GB9)</f>
        <v>158.43999999999997</v>
      </c>
      <c r="GD9" s="24">
        <v>13.11</v>
      </c>
      <c r="GE9" s="24">
        <v>12.2</v>
      </c>
      <c r="GF9" s="24">
        <v>15.67</v>
      </c>
      <c r="GG9" s="24">
        <v>13.52</v>
      </c>
      <c r="GH9" s="24">
        <v>13.84</v>
      </c>
      <c r="GI9" s="24">
        <v>13.22</v>
      </c>
      <c r="GJ9" s="24">
        <v>13</v>
      </c>
      <c r="GK9" s="24">
        <v>16.81</v>
      </c>
      <c r="GL9" s="24">
        <v>15.04</v>
      </c>
      <c r="GM9" s="24">
        <v>12.64</v>
      </c>
      <c r="GN9" s="24">
        <v>12.93</v>
      </c>
      <c r="GO9" s="24">
        <v>12.66</v>
      </c>
      <c r="GP9" s="74">
        <f t="shared" si="14"/>
        <v>164.64000000000001</v>
      </c>
      <c r="GQ9" s="24">
        <v>12.45</v>
      </c>
      <c r="GR9" s="24">
        <v>11.52</v>
      </c>
      <c r="GS9" s="24">
        <v>15.11</v>
      </c>
      <c r="GT9" s="24">
        <v>11.82</v>
      </c>
      <c r="GU9" s="24">
        <v>13.75</v>
      </c>
      <c r="GV9" s="24">
        <v>11.73</v>
      </c>
      <c r="GW9" s="24">
        <v>15.15</v>
      </c>
      <c r="GX9" s="24">
        <v>18.95</v>
      </c>
      <c r="GY9" s="24">
        <v>12.12</v>
      </c>
      <c r="GZ9" s="24">
        <v>16.34</v>
      </c>
      <c r="HA9" s="24">
        <v>13.19</v>
      </c>
      <c r="HB9" s="24">
        <v>14.43</v>
      </c>
      <c r="HC9" s="74">
        <f t="shared" si="15"/>
        <v>166.56000000000003</v>
      </c>
      <c r="HD9" s="24">
        <v>17.51</v>
      </c>
      <c r="HE9" s="24">
        <v>11.21</v>
      </c>
      <c r="HF9" s="24">
        <v>15.39</v>
      </c>
      <c r="HG9" s="24">
        <v>14.94</v>
      </c>
      <c r="HH9" s="24">
        <v>17.44</v>
      </c>
      <c r="HI9" s="24">
        <v>13.33</v>
      </c>
      <c r="HJ9" s="24">
        <v>17.86</v>
      </c>
      <c r="HK9" s="24">
        <v>14.42</v>
      </c>
      <c r="HL9" s="24">
        <v>15.81</v>
      </c>
      <c r="HM9" s="24">
        <v>17.03</v>
      </c>
      <c r="HN9" s="24">
        <v>15.75</v>
      </c>
      <c r="HO9" s="24">
        <v>14.57</v>
      </c>
      <c r="HP9" s="74">
        <f t="shared" si="16"/>
        <v>185.26</v>
      </c>
      <c r="HQ9" s="24">
        <v>14.74</v>
      </c>
      <c r="HR9" s="24">
        <v>10.6</v>
      </c>
      <c r="HS9" s="24">
        <v>13.03</v>
      </c>
      <c r="HT9" s="24">
        <v>15.27</v>
      </c>
      <c r="HU9" s="24">
        <v>17.35</v>
      </c>
      <c r="HV9" s="24">
        <v>11.62</v>
      </c>
      <c r="HW9" s="24">
        <v>17.35</v>
      </c>
      <c r="HX9" s="24">
        <v>15.92</v>
      </c>
      <c r="HY9" s="24">
        <v>15.28</v>
      </c>
      <c r="HZ9" s="24">
        <v>11.59</v>
      </c>
      <c r="IA9" s="24">
        <v>19.94</v>
      </c>
      <c r="IB9" s="24">
        <v>13.32</v>
      </c>
      <c r="IC9" s="74">
        <f t="shared" si="17"/>
        <v>176.01</v>
      </c>
    </row>
    <row r="10" spans="1:237" s="1" customFormat="1" ht="30" customHeight="1" thickBot="1">
      <c r="A10" s="99"/>
      <c r="B10" s="101"/>
      <c r="C10" s="8" t="s">
        <v>11</v>
      </c>
      <c r="D10" s="9">
        <f aca="true" t="shared" si="36" ref="D10:O10">SUM(D8:D9)</f>
        <v>306.853</v>
      </c>
      <c r="E10" s="9">
        <f t="shared" si="36"/>
        <v>46.869</v>
      </c>
      <c r="F10" s="9">
        <f t="shared" si="36"/>
        <v>106.434</v>
      </c>
      <c r="G10" s="9">
        <f t="shared" si="36"/>
        <v>136.29000000000002</v>
      </c>
      <c r="H10" s="9">
        <f t="shared" si="36"/>
        <v>219.563</v>
      </c>
      <c r="I10" s="9">
        <f t="shared" si="36"/>
        <v>214.68300000000002</v>
      </c>
      <c r="J10" s="9">
        <f t="shared" si="36"/>
        <v>206.975</v>
      </c>
      <c r="K10" s="9">
        <f t="shared" si="36"/>
        <v>196.153</v>
      </c>
      <c r="L10" s="9">
        <f t="shared" si="36"/>
        <v>144.12</v>
      </c>
      <c r="M10" s="9">
        <f t="shared" si="36"/>
        <v>180.601</v>
      </c>
      <c r="N10" s="9">
        <v>131.695</v>
      </c>
      <c r="O10" s="9">
        <f t="shared" si="36"/>
        <v>149.235</v>
      </c>
      <c r="P10" s="67">
        <f t="shared" si="0"/>
        <v>2039.471</v>
      </c>
      <c r="Q10" s="31">
        <f aca="true" t="shared" si="37" ref="Q10:AB10">SUM(Q8:Q9)</f>
        <v>284.09000000000003</v>
      </c>
      <c r="R10" s="31">
        <f t="shared" si="37"/>
        <v>74.86</v>
      </c>
      <c r="S10" s="31">
        <f t="shared" si="37"/>
        <v>89.11099999999999</v>
      </c>
      <c r="T10" s="31">
        <f t="shared" si="37"/>
        <v>146.512</v>
      </c>
      <c r="U10" s="31">
        <f t="shared" si="37"/>
        <v>172.201</v>
      </c>
      <c r="V10" s="31">
        <f t="shared" si="37"/>
        <v>161.51800000000003</v>
      </c>
      <c r="W10" s="31">
        <f t="shared" si="37"/>
        <v>166.481</v>
      </c>
      <c r="X10" s="31">
        <f t="shared" si="37"/>
        <v>258.81</v>
      </c>
      <c r="Y10" s="31">
        <f t="shared" si="37"/>
        <v>151.299</v>
      </c>
      <c r="Z10" s="31">
        <f t="shared" si="37"/>
        <v>165.071</v>
      </c>
      <c r="AA10" s="31">
        <f t="shared" si="37"/>
        <v>89.673</v>
      </c>
      <c r="AB10" s="31">
        <f t="shared" si="37"/>
        <v>222.76</v>
      </c>
      <c r="AC10" s="82">
        <f t="shared" si="1"/>
        <v>1982.386</v>
      </c>
      <c r="AD10" s="43">
        <f aca="true" t="shared" si="38" ref="AD10:AO10">SUM(AD8:AD9)</f>
        <v>214.576</v>
      </c>
      <c r="AE10" s="43">
        <f t="shared" si="38"/>
        <v>100.98</v>
      </c>
      <c r="AF10" s="43">
        <f t="shared" si="38"/>
        <v>134.107</v>
      </c>
      <c r="AG10" s="43">
        <f t="shared" si="38"/>
        <v>120.93700000000001</v>
      </c>
      <c r="AH10" s="43">
        <f t="shared" si="38"/>
        <v>242.34799999999998</v>
      </c>
      <c r="AI10" s="43">
        <f t="shared" si="38"/>
        <v>118.313</v>
      </c>
      <c r="AJ10" s="43">
        <f t="shared" si="38"/>
        <v>84.28099999999999</v>
      </c>
      <c r="AK10" s="43">
        <f t="shared" si="38"/>
        <v>259.42</v>
      </c>
      <c r="AL10" s="43">
        <f t="shared" si="38"/>
        <v>96.607</v>
      </c>
      <c r="AM10" s="43">
        <f t="shared" si="38"/>
        <v>100.66300000000001</v>
      </c>
      <c r="AN10" s="43">
        <f t="shared" si="38"/>
        <v>50.524</v>
      </c>
      <c r="AO10" s="43">
        <f t="shared" si="38"/>
        <v>148.371</v>
      </c>
      <c r="AP10" s="75">
        <f t="shared" si="2"/>
        <v>1671.127</v>
      </c>
      <c r="AQ10" s="43">
        <f aca="true" t="shared" si="39" ref="AQ10:BB10">SUM(AQ8:AQ9)</f>
        <v>25.148</v>
      </c>
      <c r="AR10" s="43">
        <f t="shared" si="39"/>
        <v>24.873</v>
      </c>
      <c r="AS10" s="43">
        <f t="shared" si="39"/>
        <v>33.804</v>
      </c>
      <c r="AT10" s="43">
        <f t="shared" si="39"/>
        <v>77.092</v>
      </c>
      <c r="AU10" s="43">
        <f t="shared" si="39"/>
        <v>50.067</v>
      </c>
      <c r="AV10" s="43">
        <f t="shared" si="39"/>
        <v>93.915</v>
      </c>
      <c r="AW10" s="43">
        <f t="shared" si="39"/>
        <v>50.067</v>
      </c>
      <c r="AX10" s="43">
        <f t="shared" si="39"/>
        <v>83.911</v>
      </c>
      <c r="AY10" s="43">
        <f t="shared" si="39"/>
        <v>73.132</v>
      </c>
      <c r="AZ10" s="43">
        <f t="shared" si="39"/>
        <v>153.306</v>
      </c>
      <c r="BA10" s="43">
        <f t="shared" si="39"/>
        <v>56.85</v>
      </c>
      <c r="BB10" s="43">
        <f t="shared" si="39"/>
        <v>71.999</v>
      </c>
      <c r="BC10" s="75">
        <f t="shared" si="3"/>
        <v>794.1640000000001</v>
      </c>
      <c r="BD10" s="43">
        <f aca="true" t="shared" si="40" ref="BD10:BO10">SUM(BD8:BD9)</f>
        <v>44.392</v>
      </c>
      <c r="BE10" s="43">
        <f t="shared" si="40"/>
        <v>47.594</v>
      </c>
      <c r="BF10" s="43">
        <f t="shared" si="40"/>
        <v>58.995000000000005</v>
      </c>
      <c r="BG10" s="43">
        <f t="shared" si="40"/>
        <v>63.83</v>
      </c>
      <c r="BH10" s="43">
        <f t="shared" si="40"/>
        <v>60.884</v>
      </c>
      <c r="BI10" s="43">
        <f t="shared" si="40"/>
        <v>66.868</v>
      </c>
      <c r="BJ10" s="43">
        <f t="shared" si="40"/>
        <v>49.973</v>
      </c>
      <c r="BK10" s="43">
        <f t="shared" si="40"/>
        <v>57.80200000000001</v>
      </c>
      <c r="BL10" s="43">
        <f t="shared" si="40"/>
        <v>64.43599999999999</v>
      </c>
      <c r="BM10" s="43">
        <f t="shared" si="40"/>
        <v>50.669999999999995</v>
      </c>
      <c r="BN10" s="43">
        <f t="shared" si="40"/>
        <v>57.206</v>
      </c>
      <c r="BO10" s="43">
        <f t="shared" si="40"/>
        <v>54.870000000000005</v>
      </c>
      <c r="BP10" s="75">
        <f t="shared" si="4"/>
        <v>677.52</v>
      </c>
      <c r="BQ10" s="43">
        <f aca="true" t="shared" si="41" ref="BQ10:CB10">SUM(BQ8:BQ9)</f>
        <v>51.06399999999999</v>
      </c>
      <c r="BR10" s="43">
        <f t="shared" si="41"/>
        <v>48.14</v>
      </c>
      <c r="BS10" s="43">
        <f t="shared" si="41"/>
        <v>56.98</v>
      </c>
      <c r="BT10" s="43">
        <f t="shared" si="41"/>
        <v>63.97</v>
      </c>
      <c r="BU10" s="43">
        <f t="shared" si="41"/>
        <v>59.05</v>
      </c>
      <c r="BV10" s="43">
        <f t="shared" si="41"/>
        <v>58.43</v>
      </c>
      <c r="BW10" s="43">
        <f t="shared" si="41"/>
        <v>51.33</v>
      </c>
      <c r="BX10" s="43">
        <f t="shared" si="41"/>
        <v>65.81</v>
      </c>
      <c r="BY10" s="43">
        <f t="shared" si="41"/>
        <v>52.97</v>
      </c>
      <c r="BZ10" s="43">
        <f t="shared" si="41"/>
        <v>62.015</v>
      </c>
      <c r="CA10" s="43">
        <f t="shared" si="41"/>
        <v>66.42</v>
      </c>
      <c r="CB10" s="43">
        <f t="shared" si="41"/>
        <v>62.29600000000001</v>
      </c>
      <c r="CC10" s="75">
        <f t="shared" si="5"/>
        <v>698.475</v>
      </c>
      <c r="CD10" s="43">
        <f aca="true" t="shared" si="42" ref="CD10:CO10">SUM(CD8:CD9)</f>
        <v>30.296</v>
      </c>
      <c r="CE10" s="43">
        <f t="shared" si="42"/>
        <v>107.53</v>
      </c>
      <c r="CF10" s="43">
        <f t="shared" si="42"/>
        <v>80.36</v>
      </c>
      <c r="CG10" s="43">
        <f t="shared" si="42"/>
        <v>75.63</v>
      </c>
      <c r="CH10" s="43">
        <f t="shared" si="42"/>
        <v>108.09</v>
      </c>
      <c r="CI10" s="43">
        <f t="shared" si="42"/>
        <v>29.48</v>
      </c>
      <c r="CJ10" s="43">
        <f t="shared" si="42"/>
        <v>108.09</v>
      </c>
      <c r="CK10" s="43">
        <f t="shared" si="42"/>
        <v>50.36</v>
      </c>
      <c r="CL10" s="43">
        <f t="shared" si="42"/>
        <v>66.21000000000001</v>
      </c>
      <c r="CM10" s="43">
        <f t="shared" si="42"/>
        <v>20.64</v>
      </c>
      <c r="CN10" s="43">
        <f t="shared" si="42"/>
        <v>0</v>
      </c>
      <c r="CO10" s="43">
        <f t="shared" si="42"/>
        <v>46.71</v>
      </c>
      <c r="CP10" s="75">
        <f t="shared" si="6"/>
        <v>723.3960000000001</v>
      </c>
      <c r="CQ10" s="43">
        <f aca="true" t="shared" si="43" ref="CQ10:DB10">SUM(CQ8:CQ9)</f>
        <v>42.449999999999996</v>
      </c>
      <c r="CR10" s="43">
        <f t="shared" si="43"/>
        <v>42.79</v>
      </c>
      <c r="CS10" s="43">
        <f t="shared" si="43"/>
        <v>48.55</v>
      </c>
      <c r="CT10" s="43">
        <f t="shared" si="43"/>
        <v>62.26</v>
      </c>
      <c r="CU10" s="43">
        <f t="shared" si="43"/>
        <v>77.31</v>
      </c>
      <c r="CV10" s="43">
        <f t="shared" si="43"/>
        <v>59.58</v>
      </c>
      <c r="CW10" s="43">
        <f t="shared" si="43"/>
        <v>70.1</v>
      </c>
      <c r="CX10" s="43">
        <f t="shared" si="43"/>
        <v>62.02</v>
      </c>
      <c r="CY10" s="43">
        <f t="shared" si="43"/>
        <v>64.84</v>
      </c>
      <c r="CZ10" s="43">
        <f t="shared" si="43"/>
        <v>94.66</v>
      </c>
      <c r="DA10" s="43">
        <f t="shared" si="43"/>
        <v>45.489999999999995</v>
      </c>
      <c r="DB10" s="43">
        <f t="shared" si="43"/>
        <v>77.45</v>
      </c>
      <c r="DC10" s="75">
        <f t="shared" si="7"/>
        <v>747.5</v>
      </c>
      <c r="DD10" s="43">
        <f aca="true" t="shared" si="44" ref="DD10:DO10">SUM(DD8:DD9)</f>
        <v>52.89</v>
      </c>
      <c r="DE10" s="43">
        <f t="shared" si="44"/>
        <v>53.52</v>
      </c>
      <c r="DF10" s="43">
        <f t="shared" si="44"/>
        <v>79.01</v>
      </c>
      <c r="DG10" s="43">
        <f t="shared" si="44"/>
        <v>75.13</v>
      </c>
      <c r="DH10" s="43">
        <f t="shared" si="44"/>
        <v>71.10000000000001</v>
      </c>
      <c r="DI10" s="43">
        <f t="shared" si="44"/>
        <v>96.38</v>
      </c>
      <c r="DJ10" s="43">
        <f t="shared" si="44"/>
        <v>64.93</v>
      </c>
      <c r="DK10" s="43">
        <f t="shared" si="44"/>
        <v>61.58</v>
      </c>
      <c r="DL10" s="43">
        <f t="shared" si="44"/>
        <v>66.26</v>
      </c>
      <c r="DM10" s="43">
        <f t="shared" si="44"/>
        <v>80.06</v>
      </c>
      <c r="DN10" s="43">
        <f t="shared" si="44"/>
        <v>79.41</v>
      </c>
      <c r="DO10" s="43">
        <f t="shared" si="44"/>
        <v>67.11</v>
      </c>
      <c r="DP10" s="75">
        <f t="shared" si="8"/>
        <v>847.3800000000001</v>
      </c>
      <c r="DQ10" s="43">
        <f aca="true" t="shared" si="45" ref="DQ10:EB10">SUM(DQ8:DQ9)</f>
        <v>61.99</v>
      </c>
      <c r="DR10" s="43">
        <f t="shared" si="45"/>
        <v>59.94</v>
      </c>
      <c r="DS10" s="43">
        <f t="shared" si="45"/>
        <v>70.63</v>
      </c>
      <c r="DT10" s="43">
        <f t="shared" si="45"/>
        <v>74.85</v>
      </c>
      <c r="DU10" s="43">
        <f t="shared" si="45"/>
        <v>83.22</v>
      </c>
      <c r="DV10" s="43">
        <f t="shared" si="45"/>
        <v>88.9</v>
      </c>
      <c r="DW10" s="43">
        <f t="shared" si="45"/>
        <v>105.38</v>
      </c>
      <c r="DX10" s="43">
        <f t="shared" si="45"/>
        <v>80.82</v>
      </c>
      <c r="DY10" s="43">
        <f t="shared" si="45"/>
        <v>117.60000000000001</v>
      </c>
      <c r="DZ10" s="43">
        <f t="shared" si="45"/>
        <v>106.3</v>
      </c>
      <c r="EA10" s="43">
        <f t="shared" si="45"/>
        <v>120.84</v>
      </c>
      <c r="EB10" s="43">
        <f t="shared" si="45"/>
        <v>134.82</v>
      </c>
      <c r="EC10" s="75">
        <f t="shared" si="9"/>
        <v>1105.29</v>
      </c>
      <c r="ED10" s="43">
        <f aca="true" t="shared" si="46" ref="ED10:EO10">SUM(ED8:ED9)</f>
        <v>74.21</v>
      </c>
      <c r="EE10" s="43">
        <f t="shared" si="46"/>
        <v>168.12</v>
      </c>
      <c r="EF10" s="43">
        <f t="shared" si="46"/>
        <v>82.17</v>
      </c>
      <c r="EG10" s="43">
        <f t="shared" si="46"/>
        <v>100.67</v>
      </c>
      <c r="EH10" s="43">
        <f t="shared" si="46"/>
        <v>117.03</v>
      </c>
      <c r="EI10" s="43">
        <f t="shared" si="46"/>
        <v>131.97</v>
      </c>
      <c r="EJ10" s="43">
        <f t="shared" si="46"/>
        <v>137.05</v>
      </c>
      <c r="EK10" s="43">
        <f t="shared" si="46"/>
        <v>154.01999999999998</v>
      </c>
      <c r="EL10" s="43">
        <f t="shared" si="46"/>
        <v>133.67</v>
      </c>
      <c r="EM10" s="43">
        <f t="shared" si="46"/>
        <v>173.12</v>
      </c>
      <c r="EN10" s="43">
        <f t="shared" si="46"/>
        <v>201.53</v>
      </c>
      <c r="EO10" s="43">
        <f t="shared" si="46"/>
        <v>147.09</v>
      </c>
      <c r="EP10" s="75">
        <f t="shared" si="10"/>
        <v>1620.65</v>
      </c>
      <c r="EQ10" s="43">
        <f>SUM(EQ8:EQ9)</f>
        <v>174.98000000000002</v>
      </c>
      <c r="ER10" s="43">
        <f aca="true" t="shared" si="47" ref="ER10:FB10">SUM(ER8:ER9)</f>
        <v>138.82999999999998</v>
      </c>
      <c r="ES10" s="43">
        <f t="shared" si="47"/>
        <v>159.49</v>
      </c>
      <c r="ET10" s="43">
        <f t="shared" si="47"/>
        <v>190.87</v>
      </c>
      <c r="EU10" s="43">
        <f t="shared" si="47"/>
        <v>177.86</v>
      </c>
      <c r="EV10" s="43">
        <f t="shared" si="47"/>
        <v>177.9</v>
      </c>
      <c r="EW10" s="43">
        <f t="shared" si="47"/>
        <v>137.38</v>
      </c>
      <c r="EX10" s="43">
        <f t="shared" si="47"/>
        <v>194.23000000000002</v>
      </c>
      <c r="EY10" s="43">
        <f t="shared" si="47"/>
        <v>187.66</v>
      </c>
      <c r="EZ10" s="43">
        <f t="shared" si="47"/>
        <v>204.92000000000002</v>
      </c>
      <c r="FA10" s="43">
        <f t="shared" si="47"/>
        <v>184.81</v>
      </c>
      <c r="FB10" s="43">
        <f t="shared" si="47"/>
        <v>189.23999999999998</v>
      </c>
      <c r="FC10" s="75">
        <f t="shared" si="11"/>
        <v>2118.17</v>
      </c>
      <c r="FD10" s="43">
        <f aca="true" t="shared" si="48" ref="FD10:FO10">SUM(FD8:FD9)</f>
        <v>186.28</v>
      </c>
      <c r="FE10" s="43">
        <f t="shared" si="48"/>
        <v>185.57999999999998</v>
      </c>
      <c r="FF10" s="43">
        <f t="shared" si="48"/>
        <v>213.08</v>
      </c>
      <c r="FG10" s="43">
        <f t="shared" si="48"/>
        <v>186.91</v>
      </c>
      <c r="FH10" s="43">
        <f t="shared" si="48"/>
        <v>187.48</v>
      </c>
      <c r="FI10" s="43">
        <f t="shared" si="48"/>
        <v>214.57000000000002</v>
      </c>
      <c r="FJ10" s="43">
        <f t="shared" si="48"/>
        <v>147.99</v>
      </c>
      <c r="FK10" s="43">
        <f t="shared" si="48"/>
        <v>186.12</v>
      </c>
      <c r="FL10" s="43">
        <f t="shared" si="48"/>
        <v>180.47</v>
      </c>
      <c r="FM10" s="43">
        <f t="shared" si="48"/>
        <v>178.51</v>
      </c>
      <c r="FN10" s="43">
        <f t="shared" si="48"/>
        <v>203.01000000000002</v>
      </c>
      <c r="FO10" s="43">
        <f t="shared" si="48"/>
        <v>165.11</v>
      </c>
      <c r="FP10" s="75">
        <f t="shared" si="12"/>
        <v>2235.1100000000006</v>
      </c>
      <c r="FQ10" s="43">
        <f aca="true" t="shared" si="49" ref="FQ10:GB10">SUM(FQ8:FQ9)</f>
        <v>137.56</v>
      </c>
      <c r="FR10" s="43">
        <f t="shared" si="49"/>
        <v>122.15</v>
      </c>
      <c r="FS10" s="43">
        <f t="shared" si="49"/>
        <v>137.94</v>
      </c>
      <c r="FT10" s="43">
        <f t="shared" si="49"/>
        <v>158.5</v>
      </c>
      <c r="FU10" s="43">
        <f t="shared" si="49"/>
        <v>145.51000000000002</v>
      </c>
      <c r="FV10" s="43">
        <f t="shared" si="49"/>
        <v>140.31</v>
      </c>
      <c r="FW10" s="43">
        <f t="shared" si="49"/>
        <v>168.54999999999998</v>
      </c>
      <c r="FX10" s="43">
        <f t="shared" si="49"/>
        <v>198.63</v>
      </c>
      <c r="FY10" s="43">
        <f t="shared" si="49"/>
        <v>294.08</v>
      </c>
      <c r="FZ10" s="43">
        <f t="shared" si="49"/>
        <v>292.17</v>
      </c>
      <c r="GA10" s="43">
        <f t="shared" si="49"/>
        <v>272.3</v>
      </c>
      <c r="GB10" s="43">
        <f t="shared" si="49"/>
        <v>258.54</v>
      </c>
      <c r="GC10" s="75">
        <f t="shared" si="13"/>
        <v>2326.2400000000002</v>
      </c>
      <c r="GD10" s="43">
        <f aca="true" t="shared" si="50" ref="GD10:GO10">SUM(GD8:GD9)</f>
        <v>277.07</v>
      </c>
      <c r="GE10" s="43">
        <f t="shared" si="50"/>
        <v>295.5</v>
      </c>
      <c r="GF10" s="43">
        <f t="shared" si="50"/>
        <v>451.99</v>
      </c>
      <c r="GG10" s="43">
        <f t="shared" si="50"/>
        <v>310.79999999999995</v>
      </c>
      <c r="GH10" s="43">
        <f t="shared" si="50"/>
        <v>311.2</v>
      </c>
      <c r="GI10" s="43">
        <f t="shared" si="50"/>
        <v>321.68</v>
      </c>
      <c r="GJ10" s="43">
        <f t="shared" si="50"/>
        <v>311.46</v>
      </c>
      <c r="GK10" s="43">
        <f t="shared" si="50"/>
        <v>439.68</v>
      </c>
      <c r="GL10" s="43">
        <f t="shared" si="50"/>
        <v>323.78000000000003</v>
      </c>
      <c r="GM10" s="43">
        <f t="shared" si="50"/>
        <v>368.43</v>
      </c>
      <c r="GN10" s="43">
        <f t="shared" si="50"/>
        <v>404.02</v>
      </c>
      <c r="GO10" s="43">
        <f t="shared" si="50"/>
        <v>388.32000000000005</v>
      </c>
      <c r="GP10" s="75">
        <f t="shared" si="14"/>
        <v>4203.929999999999</v>
      </c>
      <c r="GQ10" s="43">
        <f aca="true" t="shared" si="51" ref="GQ10:HB10">SUM(GQ8:GQ9)</f>
        <v>394.99</v>
      </c>
      <c r="GR10" s="43">
        <f t="shared" si="51"/>
        <v>318.9</v>
      </c>
      <c r="GS10" s="43">
        <f t="shared" si="51"/>
        <v>480.19</v>
      </c>
      <c r="GT10" s="43">
        <f t="shared" si="51"/>
        <v>363.45</v>
      </c>
      <c r="GU10" s="43">
        <f t="shared" si="51"/>
        <v>468.76</v>
      </c>
      <c r="GV10" s="43">
        <f t="shared" si="51"/>
        <v>408.08000000000004</v>
      </c>
      <c r="GW10" s="43">
        <f t="shared" si="51"/>
        <v>505.52</v>
      </c>
      <c r="GX10" s="43">
        <f t="shared" si="51"/>
        <v>470.31</v>
      </c>
      <c r="GY10" s="43">
        <f t="shared" si="51"/>
        <v>412.06</v>
      </c>
      <c r="GZ10" s="43">
        <f t="shared" si="51"/>
        <v>515.95</v>
      </c>
      <c r="HA10" s="43">
        <f t="shared" si="51"/>
        <v>448.56</v>
      </c>
      <c r="HB10" s="43">
        <f t="shared" si="51"/>
        <v>468.46</v>
      </c>
      <c r="HC10" s="75">
        <f t="shared" si="15"/>
        <v>5255.2300000000005</v>
      </c>
      <c r="HD10" s="43">
        <f aca="true" t="shared" si="52" ref="HD10:HO10">SUM(HD8:HD9)</f>
        <v>468.28999999999996</v>
      </c>
      <c r="HE10" s="43">
        <f t="shared" si="52"/>
        <v>415.60999999999996</v>
      </c>
      <c r="HF10" s="43">
        <f t="shared" si="52"/>
        <v>452.5</v>
      </c>
      <c r="HG10" s="43">
        <f t="shared" si="52"/>
        <v>484.19</v>
      </c>
      <c r="HH10" s="43">
        <f t="shared" si="52"/>
        <v>463.38</v>
      </c>
      <c r="HI10" s="43">
        <f t="shared" si="52"/>
        <v>404.40999999999997</v>
      </c>
      <c r="HJ10" s="43">
        <f t="shared" si="52"/>
        <v>523.73</v>
      </c>
      <c r="HK10" s="43">
        <f t="shared" si="52"/>
        <v>631.64</v>
      </c>
      <c r="HL10" s="43">
        <f t="shared" si="52"/>
        <v>623.4499999999999</v>
      </c>
      <c r="HM10" s="43">
        <f t="shared" si="52"/>
        <v>787.24</v>
      </c>
      <c r="HN10" s="43">
        <f t="shared" si="52"/>
        <v>572.56</v>
      </c>
      <c r="HO10" s="43">
        <f t="shared" si="52"/>
        <v>498.51</v>
      </c>
      <c r="HP10" s="75">
        <f t="shared" si="16"/>
        <v>6325.51</v>
      </c>
      <c r="HQ10" s="43">
        <f aca="true" t="shared" si="53" ref="HQ10:IB10">SUM(HQ8:HQ9)</f>
        <v>585.72</v>
      </c>
      <c r="HR10" s="43">
        <f t="shared" si="53"/>
        <v>431.03000000000003</v>
      </c>
      <c r="HS10" s="43">
        <f t="shared" si="53"/>
        <v>423.86999999999995</v>
      </c>
      <c r="HT10" s="43">
        <f t="shared" si="53"/>
        <v>499.82</v>
      </c>
      <c r="HU10" s="43">
        <f t="shared" si="53"/>
        <v>701.0600000000001</v>
      </c>
      <c r="HV10" s="43">
        <f t="shared" si="53"/>
        <v>493.51</v>
      </c>
      <c r="HW10" s="43">
        <f t="shared" si="53"/>
        <v>626.11</v>
      </c>
      <c r="HX10" s="43">
        <f t="shared" si="53"/>
        <v>507.72</v>
      </c>
      <c r="HY10" s="43">
        <f t="shared" si="53"/>
        <v>661.3199999999999</v>
      </c>
      <c r="HZ10" s="43">
        <f t="shared" si="53"/>
        <v>544.2900000000001</v>
      </c>
      <c r="IA10" s="43">
        <f t="shared" si="53"/>
        <v>575.4300000000001</v>
      </c>
      <c r="IB10" s="43">
        <f t="shared" si="53"/>
        <v>583.9300000000001</v>
      </c>
      <c r="IC10" s="75">
        <f t="shared" si="17"/>
        <v>6633.81</v>
      </c>
    </row>
    <row r="11" spans="1:237" s="1" customFormat="1" ht="30" customHeight="1">
      <c r="A11" s="99"/>
      <c r="B11" s="100" t="s">
        <v>9</v>
      </c>
      <c r="C11" s="17" t="s">
        <v>15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5">
        <f t="shared" si="0"/>
        <v>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80">
        <f t="shared" si="1"/>
        <v>0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73">
        <f t="shared" si="2"/>
        <v>0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73">
        <f t="shared" si="3"/>
        <v>0</v>
      </c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73">
        <f t="shared" si="4"/>
        <v>0</v>
      </c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73">
        <f t="shared" si="5"/>
        <v>0</v>
      </c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73">
        <f t="shared" si="6"/>
        <v>0</v>
      </c>
      <c r="CQ11" s="23">
        <v>0.6</v>
      </c>
      <c r="CR11" s="23">
        <v>0.63</v>
      </c>
      <c r="CS11" s="23">
        <v>0.67</v>
      </c>
      <c r="CT11" s="23">
        <v>0.9</v>
      </c>
      <c r="CU11" s="23">
        <v>1.04</v>
      </c>
      <c r="CV11" s="23">
        <v>0.85</v>
      </c>
      <c r="CW11" s="23">
        <v>0.97</v>
      </c>
      <c r="CX11" s="23">
        <v>0.93</v>
      </c>
      <c r="CY11" s="23">
        <v>1</v>
      </c>
      <c r="CZ11" s="23">
        <v>1.49</v>
      </c>
      <c r="DA11" s="23">
        <v>0.64</v>
      </c>
      <c r="DB11" s="23">
        <v>0.99</v>
      </c>
      <c r="DC11" s="73">
        <f t="shared" si="7"/>
        <v>10.709999999999999</v>
      </c>
      <c r="DD11" s="23">
        <v>0.74</v>
      </c>
      <c r="DE11" s="23">
        <v>0.74</v>
      </c>
      <c r="DF11" s="23">
        <v>0.94</v>
      </c>
      <c r="DG11" s="23">
        <v>0.94</v>
      </c>
      <c r="DH11" s="23">
        <v>1.04</v>
      </c>
      <c r="DI11" s="23">
        <v>1.43</v>
      </c>
      <c r="DJ11" s="23">
        <v>0.99</v>
      </c>
      <c r="DK11" s="23">
        <v>0.91</v>
      </c>
      <c r="DL11" s="23">
        <v>0.99</v>
      </c>
      <c r="DM11" s="23">
        <v>1.18</v>
      </c>
      <c r="DN11" s="23">
        <v>1.16</v>
      </c>
      <c r="DO11" s="23">
        <v>0.99</v>
      </c>
      <c r="DP11" s="73">
        <f t="shared" si="8"/>
        <v>12.05</v>
      </c>
      <c r="DQ11" s="23">
        <v>0.92</v>
      </c>
      <c r="DR11" s="23">
        <v>0.91</v>
      </c>
      <c r="DS11" s="23">
        <v>1.06</v>
      </c>
      <c r="DT11" s="23">
        <v>1.15</v>
      </c>
      <c r="DU11" s="23">
        <v>1.29</v>
      </c>
      <c r="DV11" s="23">
        <v>1.41</v>
      </c>
      <c r="DW11" s="23">
        <v>1.67</v>
      </c>
      <c r="DX11" s="23">
        <v>1.3</v>
      </c>
      <c r="DY11" s="23">
        <v>1.87</v>
      </c>
      <c r="DZ11" s="23">
        <v>1.64</v>
      </c>
      <c r="EA11" s="23">
        <v>2.03</v>
      </c>
      <c r="EB11" s="23">
        <v>2.29</v>
      </c>
      <c r="EC11" s="73">
        <f t="shared" si="9"/>
        <v>17.540000000000003</v>
      </c>
      <c r="ED11" s="23">
        <v>1.09</v>
      </c>
      <c r="EE11" s="23">
        <v>2.89</v>
      </c>
      <c r="EF11" s="23">
        <v>1.28</v>
      </c>
      <c r="EG11" s="23">
        <v>1.61</v>
      </c>
      <c r="EH11" s="23">
        <v>1.89</v>
      </c>
      <c r="EI11" s="23">
        <v>2.16</v>
      </c>
      <c r="EJ11" s="23">
        <v>2.24</v>
      </c>
      <c r="EK11" s="23">
        <v>2.54</v>
      </c>
      <c r="EL11" s="23">
        <v>2.15</v>
      </c>
      <c r="EM11" s="23">
        <v>2.74</v>
      </c>
      <c r="EN11" s="23">
        <v>2.75</v>
      </c>
      <c r="EO11" s="23">
        <v>2.49</v>
      </c>
      <c r="EP11" s="73">
        <f t="shared" si="10"/>
        <v>25.830000000000005</v>
      </c>
      <c r="EQ11" s="23">
        <v>2.95</v>
      </c>
      <c r="ER11" s="23">
        <v>2.36</v>
      </c>
      <c r="ES11" s="23">
        <v>2.69</v>
      </c>
      <c r="ET11" s="23">
        <v>3.28</v>
      </c>
      <c r="EU11" s="23">
        <v>3.03</v>
      </c>
      <c r="EV11" s="23">
        <v>3.02</v>
      </c>
      <c r="EW11" s="23">
        <v>2.3</v>
      </c>
      <c r="EX11" s="23">
        <v>3.32</v>
      </c>
      <c r="EY11" s="23">
        <v>3.2</v>
      </c>
      <c r="EZ11" s="23">
        <v>3.54</v>
      </c>
      <c r="FA11" s="23">
        <v>3.15</v>
      </c>
      <c r="FB11" s="23">
        <v>3.24</v>
      </c>
      <c r="FC11" s="73">
        <f t="shared" si="11"/>
        <v>36.08</v>
      </c>
      <c r="FD11" s="23">
        <v>3.18</v>
      </c>
      <c r="FE11" s="23">
        <v>3.22</v>
      </c>
      <c r="FF11" s="23">
        <v>3.72</v>
      </c>
      <c r="FG11" s="23">
        <v>3.14</v>
      </c>
      <c r="FH11" s="23">
        <v>3.2</v>
      </c>
      <c r="FI11" s="23">
        <v>3.57</v>
      </c>
      <c r="FJ11" s="23">
        <v>2.51</v>
      </c>
      <c r="FK11" s="23">
        <v>3.16</v>
      </c>
      <c r="FL11" s="23">
        <v>3.04</v>
      </c>
      <c r="FM11" s="23">
        <v>2.99</v>
      </c>
      <c r="FN11" s="23">
        <v>3.5</v>
      </c>
      <c r="FO11" s="23">
        <v>2.8</v>
      </c>
      <c r="FP11" s="73">
        <f t="shared" si="12"/>
        <v>38.029999999999994</v>
      </c>
      <c r="FQ11" s="23">
        <v>2.24</v>
      </c>
      <c r="FR11" s="23">
        <v>2.02</v>
      </c>
      <c r="FS11" s="23">
        <v>2.226</v>
      </c>
      <c r="FT11" s="23">
        <v>2.6</v>
      </c>
      <c r="FU11" s="23">
        <v>2.38</v>
      </c>
      <c r="FV11" s="23">
        <v>2.3</v>
      </c>
      <c r="FW11" s="23">
        <v>2.96</v>
      </c>
      <c r="FX11" s="23">
        <v>3.61</v>
      </c>
      <c r="FY11" s="23">
        <v>5.54</v>
      </c>
      <c r="FZ11" s="23">
        <v>5.43</v>
      </c>
      <c r="GA11" s="23">
        <v>5.22</v>
      </c>
      <c r="GB11" s="23">
        <v>4.96</v>
      </c>
      <c r="GC11" s="73">
        <f t="shared" si="13"/>
        <v>41.486000000000004</v>
      </c>
      <c r="GD11" s="23">
        <v>5.32</v>
      </c>
      <c r="GE11" s="23">
        <v>5.78</v>
      </c>
      <c r="GF11" s="23">
        <v>8.71</v>
      </c>
      <c r="GG11" s="23">
        <v>6.04</v>
      </c>
      <c r="GH11" s="23">
        <v>6.19</v>
      </c>
      <c r="GI11" s="23">
        <v>6.43</v>
      </c>
      <c r="GJ11" s="23">
        <v>6.18</v>
      </c>
      <c r="GK11" s="23">
        <v>8.74</v>
      </c>
      <c r="GL11" s="23">
        <v>6.26</v>
      </c>
      <c r="GM11" s="23">
        <v>7.35</v>
      </c>
      <c r="GN11" s="23">
        <v>8.12</v>
      </c>
      <c r="GO11" s="23">
        <v>7.9</v>
      </c>
      <c r="GP11" s="73">
        <f t="shared" si="14"/>
        <v>83.02000000000001</v>
      </c>
      <c r="GQ11" s="23">
        <v>8.03</v>
      </c>
      <c r="GR11" s="23">
        <v>6.6</v>
      </c>
      <c r="GS11" s="23">
        <v>10.02</v>
      </c>
      <c r="GT11" s="23">
        <v>7.61</v>
      </c>
      <c r="GU11" s="23">
        <v>9.92</v>
      </c>
      <c r="GV11" s="23">
        <v>8.66</v>
      </c>
      <c r="GW11" s="23">
        <v>10.6</v>
      </c>
      <c r="GX11" s="23">
        <v>9.84</v>
      </c>
      <c r="GY11" s="23">
        <v>8.57</v>
      </c>
      <c r="GZ11" s="23">
        <v>10.86</v>
      </c>
      <c r="HA11" s="23">
        <v>9.5</v>
      </c>
      <c r="HB11" s="23">
        <v>9.92</v>
      </c>
      <c r="HC11" s="73">
        <f t="shared" si="15"/>
        <v>110.13</v>
      </c>
      <c r="HD11" s="23">
        <v>9.92</v>
      </c>
      <c r="HE11" s="23">
        <v>8.9</v>
      </c>
      <c r="HF11" s="23">
        <v>9.62</v>
      </c>
      <c r="HG11" s="23">
        <v>10.29</v>
      </c>
      <c r="HH11" s="23">
        <v>9.78</v>
      </c>
      <c r="HI11" s="23">
        <v>8.65</v>
      </c>
      <c r="HJ11" s="23">
        <v>11.04</v>
      </c>
      <c r="HK11" s="23">
        <v>13.56</v>
      </c>
      <c r="HL11" s="23">
        <v>13.38</v>
      </c>
      <c r="HM11" s="23">
        <v>17</v>
      </c>
      <c r="HN11" s="23">
        <v>12.21</v>
      </c>
      <c r="HO11" s="23">
        <v>10.68</v>
      </c>
      <c r="HP11" s="73">
        <f t="shared" si="16"/>
        <v>135.03</v>
      </c>
      <c r="HQ11" s="23">
        <v>12.62</v>
      </c>
      <c r="HR11" s="23">
        <v>9.25</v>
      </c>
      <c r="HS11" s="23">
        <v>9.04</v>
      </c>
      <c r="HT11" s="23">
        <v>11.03</v>
      </c>
      <c r="HU11" s="23">
        <v>15.79</v>
      </c>
      <c r="HV11" s="23">
        <v>11.1</v>
      </c>
      <c r="HW11" s="23">
        <v>14.16</v>
      </c>
      <c r="HX11" s="23">
        <v>11.4</v>
      </c>
      <c r="HY11" s="23">
        <v>14.83</v>
      </c>
      <c r="HZ11" s="23">
        <v>13.55</v>
      </c>
      <c r="IA11" s="23">
        <v>15.61</v>
      </c>
      <c r="IB11" s="23">
        <v>16.02</v>
      </c>
      <c r="IC11" s="73">
        <f t="shared" si="17"/>
        <v>154.4</v>
      </c>
    </row>
    <row r="12" spans="1:237" s="1" customFormat="1" ht="30" customHeight="1" thickBot="1">
      <c r="A12" s="99"/>
      <c r="B12" s="101"/>
      <c r="C12" s="18" t="s">
        <v>14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6">
        <f t="shared" si="0"/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81">
        <f t="shared" si="1"/>
        <v>0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74">
        <f t="shared" si="2"/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74">
        <f t="shared" si="3"/>
        <v>0</v>
      </c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74">
        <f t="shared" si="4"/>
        <v>0</v>
      </c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74">
        <f t="shared" si="5"/>
        <v>0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74">
        <f t="shared" si="6"/>
        <v>0</v>
      </c>
      <c r="CQ12" s="24">
        <v>0.07</v>
      </c>
      <c r="CR12" s="24">
        <v>0.06</v>
      </c>
      <c r="CS12" s="24">
        <v>0.08</v>
      </c>
      <c r="CT12" s="24">
        <v>0.09</v>
      </c>
      <c r="CU12" s="24">
        <v>0.08</v>
      </c>
      <c r="CV12" s="24">
        <v>0.09</v>
      </c>
      <c r="CW12" s="24">
        <v>0.1</v>
      </c>
      <c r="CX12" s="24">
        <v>0.08</v>
      </c>
      <c r="CY12" s="24">
        <v>0.07</v>
      </c>
      <c r="CZ12" s="24">
        <v>0.09</v>
      </c>
      <c r="DA12" s="24">
        <v>0.07</v>
      </c>
      <c r="DB12" s="24">
        <v>0.09</v>
      </c>
      <c r="DC12" s="74">
        <f t="shared" si="7"/>
        <v>0.9699999999999999</v>
      </c>
      <c r="DD12" s="24">
        <v>0.08</v>
      </c>
      <c r="DE12" s="24">
        <v>0.09</v>
      </c>
      <c r="DF12" s="24">
        <v>0.32</v>
      </c>
      <c r="DG12" s="24">
        <v>0.26</v>
      </c>
      <c r="DH12" s="24">
        <v>0.08</v>
      </c>
      <c r="DI12" s="24">
        <v>0.12</v>
      </c>
      <c r="DJ12" s="24">
        <v>0.07</v>
      </c>
      <c r="DK12" s="24">
        <v>0.08</v>
      </c>
      <c r="DL12" s="24">
        <v>0.08</v>
      </c>
      <c r="DM12" s="24">
        <v>0.09</v>
      </c>
      <c r="DN12" s="24">
        <v>0.09</v>
      </c>
      <c r="DO12" s="24">
        <v>0.09</v>
      </c>
      <c r="DP12" s="74">
        <f t="shared" si="8"/>
        <v>1.4500000000000004</v>
      </c>
      <c r="DQ12" s="24">
        <v>0.08</v>
      </c>
      <c r="DR12" s="24">
        <v>0.07</v>
      </c>
      <c r="DS12" s="24">
        <v>0.09</v>
      </c>
      <c r="DT12" s="24">
        <v>0.08</v>
      </c>
      <c r="DU12" s="24">
        <v>0.09</v>
      </c>
      <c r="DV12" s="24">
        <v>0.08</v>
      </c>
      <c r="DW12" s="24">
        <v>0.1</v>
      </c>
      <c r="DX12" s="24">
        <v>0.07</v>
      </c>
      <c r="DY12" s="24">
        <v>0.12</v>
      </c>
      <c r="DZ12" s="24">
        <v>0.11</v>
      </c>
      <c r="EA12" s="24">
        <v>0.07</v>
      </c>
      <c r="EB12" s="24">
        <v>0.07</v>
      </c>
      <c r="EC12" s="74">
        <f t="shared" si="9"/>
        <v>1.0300000000000002</v>
      </c>
      <c r="ED12" s="24">
        <v>0.12</v>
      </c>
      <c r="EE12" s="24">
        <v>0.08</v>
      </c>
      <c r="EF12" s="24">
        <v>0.08</v>
      </c>
      <c r="EG12" s="24">
        <v>0.09</v>
      </c>
      <c r="EH12" s="24">
        <v>0.09</v>
      </c>
      <c r="EI12" s="24">
        <v>0.1</v>
      </c>
      <c r="EJ12" s="24">
        <v>0.12</v>
      </c>
      <c r="EK12" s="24">
        <v>0.12</v>
      </c>
      <c r="EL12" s="24">
        <v>0.12</v>
      </c>
      <c r="EM12" s="24">
        <v>0.21</v>
      </c>
      <c r="EN12" s="24">
        <v>0.58</v>
      </c>
      <c r="EO12" s="24">
        <v>0.08</v>
      </c>
      <c r="EP12" s="74">
        <f t="shared" si="10"/>
        <v>1.79</v>
      </c>
      <c r="EQ12" s="24">
        <v>0.1</v>
      </c>
      <c r="ER12" s="24">
        <v>0.07</v>
      </c>
      <c r="ES12" s="24">
        <v>0.09</v>
      </c>
      <c r="ET12" s="24">
        <v>0.09</v>
      </c>
      <c r="EU12" s="24">
        <v>0.09</v>
      </c>
      <c r="EV12" s="24">
        <v>0.09</v>
      </c>
      <c r="EW12" s="24">
        <v>0.08</v>
      </c>
      <c r="EX12" s="24">
        <v>0.09</v>
      </c>
      <c r="EY12" s="24">
        <v>0.09</v>
      </c>
      <c r="EZ12" s="24">
        <v>0.08</v>
      </c>
      <c r="FA12" s="24">
        <v>0.09</v>
      </c>
      <c r="FB12" s="24">
        <v>0.09</v>
      </c>
      <c r="FC12" s="74">
        <f t="shared" si="11"/>
        <v>1.0499999999999998</v>
      </c>
      <c r="FD12" s="24">
        <v>0.09</v>
      </c>
      <c r="FE12" s="24">
        <v>0.07</v>
      </c>
      <c r="FF12" s="24">
        <v>0.08</v>
      </c>
      <c r="FG12" s="24">
        <v>0.11</v>
      </c>
      <c r="FH12" s="24">
        <v>0.09</v>
      </c>
      <c r="FI12" s="24">
        <v>0.09</v>
      </c>
      <c r="FJ12" s="24">
        <v>0.07</v>
      </c>
      <c r="FK12" s="24">
        <v>0.09</v>
      </c>
      <c r="FL12" s="24">
        <v>0.09</v>
      </c>
      <c r="FM12" s="24">
        <v>0.09</v>
      </c>
      <c r="FN12" s="24">
        <v>0.08</v>
      </c>
      <c r="FO12" s="24">
        <v>0.07</v>
      </c>
      <c r="FP12" s="74">
        <f t="shared" si="12"/>
        <v>1.0199999999999998</v>
      </c>
      <c r="FQ12" s="24">
        <v>0.09</v>
      </c>
      <c r="FR12" s="24">
        <v>0.07</v>
      </c>
      <c r="FS12" s="24">
        <v>0.08</v>
      </c>
      <c r="FT12" s="24">
        <v>0.09</v>
      </c>
      <c r="FU12" s="24">
        <v>0.09</v>
      </c>
      <c r="FV12" s="24">
        <v>0.08</v>
      </c>
      <c r="FW12" s="24">
        <v>0.09</v>
      </c>
      <c r="FX12" s="24">
        <v>0.08</v>
      </c>
      <c r="FY12" s="24">
        <v>0.08</v>
      </c>
      <c r="FZ12" s="24">
        <v>0.09</v>
      </c>
      <c r="GA12" s="24">
        <v>0.08</v>
      </c>
      <c r="GB12" s="24">
        <v>0.08</v>
      </c>
      <c r="GC12" s="74">
        <f t="shared" si="13"/>
        <v>0.9999999999999998</v>
      </c>
      <c r="GD12" s="24">
        <v>0.08</v>
      </c>
      <c r="GE12" s="24">
        <v>0.08</v>
      </c>
      <c r="GF12" s="24">
        <v>0.1</v>
      </c>
      <c r="GG12" s="24">
        <v>0.09</v>
      </c>
      <c r="GH12" s="24">
        <v>0.09</v>
      </c>
      <c r="GI12" s="24">
        <v>0.09</v>
      </c>
      <c r="GJ12" s="24">
        <v>0.09</v>
      </c>
      <c r="GK12" s="24">
        <v>0.11</v>
      </c>
      <c r="GL12" s="24">
        <v>0</v>
      </c>
      <c r="GM12" s="24">
        <v>0.08</v>
      </c>
      <c r="GN12" s="24">
        <v>0.09</v>
      </c>
      <c r="GO12" s="24">
        <v>0.08</v>
      </c>
      <c r="GP12" s="74">
        <f t="shared" si="14"/>
        <v>0.9799999999999998</v>
      </c>
      <c r="GQ12" s="24">
        <v>0.08</v>
      </c>
      <c r="GR12" s="24">
        <v>0.08</v>
      </c>
      <c r="GS12" s="24">
        <v>0.1</v>
      </c>
      <c r="GT12" s="24">
        <v>0.08</v>
      </c>
      <c r="GU12" s="24">
        <v>0.09</v>
      </c>
      <c r="GV12" s="24">
        <v>0.07</v>
      </c>
      <c r="GW12" s="24">
        <v>0.1</v>
      </c>
      <c r="GX12" s="24">
        <v>0.13</v>
      </c>
      <c r="GY12" s="24">
        <v>0.08</v>
      </c>
      <c r="GZ12" s="24">
        <v>0.11</v>
      </c>
      <c r="HA12" s="24">
        <v>0.08</v>
      </c>
      <c r="HB12" s="24">
        <v>0.09</v>
      </c>
      <c r="HC12" s="74">
        <f t="shared" si="15"/>
        <v>1.0899999999999999</v>
      </c>
      <c r="HD12" s="24">
        <v>0.12</v>
      </c>
      <c r="HE12" s="24">
        <v>0.07</v>
      </c>
      <c r="HF12" s="24">
        <v>0.1</v>
      </c>
      <c r="HG12" s="24">
        <v>0.1</v>
      </c>
      <c r="HH12" s="24">
        <v>0.12</v>
      </c>
      <c r="HI12" s="24">
        <v>0.09</v>
      </c>
      <c r="HJ12" s="24">
        <v>0.12</v>
      </c>
      <c r="HK12" s="24">
        <v>0.09</v>
      </c>
      <c r="HL12" s="24">
        <v>0.1</v>
      </c>
      <c r="HM12" s="24">
        <v>0.11</v>
      </c>
      <c r="HN12" s="24">
        <v>0.1</v>
      </c>
      <c r="HO12" s="24">
        <v>0.1</v>
      </c>
      <c r="HP12" s="74">
        <f t="shared" si="16"/>
        <v>1.2200000000000002</v>
      </c>
      <c r="HQ12" s="24">
        <v>0.1</v>
      </c>
      <c r="HR12" s="24">
        <v>0.07</v>
      </c>
      <c r="HS12" s="24">
        <v>0.09</v>
      </c>
      <c r="HT12" s="24">
        <v>0.1</v>
      </c>
      <c r="HU12" s="24">
        <v>0.11</v>
      </c>
      <c r="HV12" s="24">
        <v>0.08</v>
      </c>
      <c r="HW12" s="24">
        <v>0.11</v>
      </c>
      <c r="HX12" s="24">
        <v>0.11</v>
      </c>
      <c r="HY12" s="24">
        <v>0.11</v>
      </c>
      <c r="HZ12" s="24">
        <v>0.08</v>
      </c>
      <c r="IA12" s="24">
        <v>0.13</v>
      </c>
      <c r="IB12" s="24">
        <v>0.09</v>
      </c>
      <c r="IC12" s="74">
        <f t="shared" si="17"/>
        <v>1.18</v>
      </c>
    </row>
    <row r="13" spans="1:237" s="1" customFormat="1" ht="30" customHeight="1" thickBot="1">
      <c r="A13" s="105"/>
      <c r="B13" s="102"/>
      <c r="C13" s="8" t="s">
        <v>11</v>
      </c>
      <c r="D13" s="9">
        <f>4212092/1000000</f>
        <v>4.212092</v>
      </c>
      <c r="E13" s="9">
        <f>592948/1000000</f>
        <v>0.592948</v>
      </c>
      <c r="F13" s="9">
        <f>1277015/1000000</f>
        <v>1.277015</v>
      </c>
      <c r="G13" s="9">
        <f>1681021/1000000</f>
        <v>1.681021</v>
      </c>
      <c r="H13" s="9">
        <f>2754529/1000000</f>
        <v>2.754529</v>
      </c>
      <c r="I13" s="9">
        <f>2659146/1000000</f>
        <v>2.659146</v>
      </c>
      <c r="J13" s="9">
        <f>3205466/1000000</f>
        <v>3.205466</v>
      </c>
      <c r="K13" s="9">
        <f>2904892/1000000</f>
        <v>2.904892</v>
      </c>
      <c r="L13" s="9">
        <f>2250960/1000000</f>
        <v>2.25096</v>
      </c>
      <c r="M13" s="9">
        <f>2743614/1000000</f>
        <v>2.743614</v>
      </c>
      <c r="N13" s="9">
        <f>2991032.2575/1000000</f>
        <v>2.9910322574999997</v>
      </c>
      <c r="O13" s="9">
        <f>2218935/1000000</f>
        <v>2.218935</v>
      </c>
      <c r="P13" s="67">
        <f t="shared" si="0"/>
        <v>29.491650257499998</v>
      </c>
      <c r="Q13" s="31">
        <f>4405216/1000000</f>
        <v>4.405216</v>
      </c>
      <c r="R13" s="31">
        <f>1121379/1000000</f>
        <v>1.121379</v>
      </c>
      <c r="S13" s="31">
        <f>1305048/1000000</f>
        <v>1.305048</v>
      </c>
      <c r="T13" s="31">
        <f>2187366/1000000</f>
        <v>2.187366</v>
      </c>
      <c r="U13" s="31">
        <f>2660863/1000000</f>
        <v>2.660863</v>
      </c>
      <c r="V13" s="31">
        <f>2474419/1000000</f>
        <v>2.474419</v>
      </c>
      <c r="W13" s="31">
        <f>2547495/1000000</f>
        <v>2.547495</v>
      </c>
      <c r="X13" s="31">
        <f>4016430/1000000</f>
        <v>4.01643</v>
      </c>
      <c r="Y13" s="31">
        <f>2323054/1000000</f>
        <v>2.323054</v>
      </c>
      <c r="Z13" s="31">
        <f>2548377/1000000</f>
        <v>2.548377</v>
      </c>
      <c r="AA13" s="31">
        <f>1264834/1000000</f>
        <v>1.264834</v>
      </c>
      <c r="AB13" s="31">
        <f>2086681/1000000</f>
        <v>2.086681</v>
      </c>
      <c r="AC13" s="82">
        <f t="shared" si="1"/>
        <v>28.941162</v>
      </c>
      <c r="AD13" s="43">
        <f>3345803/1000000</f>
        <v>3.345803</v>
      </c>
      <c r="AE13" s="43">
        <f>1513994/1000000</f>
        <v>1.513994</v>
      </c>
      <c r="AF13" s="43">
        <f>2079224/1000000</f>
        <v>2.079224</v>
      </c>
      <c r="AG13" s="43">
        <f>1805682/1000000</f>
        <v>1.805682</v>
      </c>
      <c r="AH13" s="43">
        <f>3807073/1000000</f>
        <v>3.807073</v>
      </c>
      <c r="AI13" s="43">
        <f>1756239/1000000</f>
        <v>1.756239</v>
      </c>
      <c r="AJ13" s="43">
        <f>1201252/1000000</f>
        <v>1.201252</v>
      </c>
      <c r="AK13" s="43">
        <f>4042821/1000000</f>
        <v>4.042821</v>
      </c>
      <c r="AL13" s="43">
        <f>1584534/1000000</f>
        <v>1.584534</v>
      </c>
      <c r="AM13" s="43">
        <f>1674276/1000000</f>
        <v>1.674276</v>
      </c>
      <c r="AN13" s="43">
        <f>745089/1000000</f>
        <v>0.745089</v>
      </c>
      <c r="AO13" s="43">
        <f>2538250/1000000</f>
        <v>2.53825</v>
      </c>
      <c r="AP13" s="75">
        <f t="shared" si="2"/>
        <v>26.094237000000003</v>
      </c>
      <c r="AQ13" s="43">
        <f>264528/1000000</f>
        <v>0.264528</v>
      </c>
      <c r="AR13" s="43">
        <f>271603/1000000</f>
        <v>0.271603</v>
      </c>
      <c r="AS13" s="43">
        <f>400120/1000000</f>
        <v>0.40012</v>
      </c>
      <c r="AT13" s="43">
        <f>1217289/1000000</f>
        <v>1.217289</v>
      </c>
      <c r="AU13" s="43">
        <f>719233/1000000</f>
        <v>0.719233</v>
      </c>
      <c r="AV13" s="43">
        <f>1459686/1000000</f>
        <v>1.459686</v>
      </c>
      <c r="AW13" s="43">
        <f>1166605/1000000</f>
        <v>1.166605</v>
      </c>
      <c r="AX13" s="43">
        <f>1279077/1000000</f>
        <v>1.279077</v>
      </c>
      <c r="AY13" s="43">
        <f>1147834/1000000</f>
        <v>1.147834</v>
      </c>
      <c r="AZ13" s="43">
        <f>991877/1000000</f>
        <v>0.991877</v>
      </c>
      <c r="BA13" s="43">
        <f>825037.08/1000000</f>
        <v>0.82503708</v>
      </c>
      <c r="BB13" s="43">
        <f>1106666/1000000</f>
        <v>1.106666</v>
      </c>
      <c r="BC13" s="75">
        <f t="shared" si="3"/>
        <v>10.84955508</v>
      </c>
      <c r="BD13" s="43">
        <f>646020/1000000</f>
        <v>0.64602</v>
      </c>
      <c r="BE13" s="43">
        <f>696027/1000000</f>
        <v>0.696027</v>
      </c>
      <c r="BF13" s="43">
        <f>857087/1000000</f>
        <v>0.857087</v>
      </c>
      <c r="BG13" s="43">
        <f>903408/1000000</f>
        <v>0.903408</v>
      </c>
      <c r="BH13" s="43">
        <f>944298/1000000</f>
        <v>0.944298</v>
      </c>
      <c r="BI13" s="43">
        <f>966662/1000000</f>
        <v>0.966662</v>
      </c>
      <c r="BJ13" s="43">
        <f>741225/1000000</f>
        <v>0.741225</v>
      </c>
      <c r="BK13" s="43">
        <f>867920/1000000</f>
        <v>0.86792</v>
      </c>
      <c r="BL13" s="43">
        <f>963760/1000000</f>
        <v>0.96376</v>
      </c>
      <c r="BM13" s="43">
        <f>759614/1000000</f>
        <v>0.759614</v>
      </c>
      <c r="BN13" s="43">
        <f>853548/1000000</f>
        <v>0.853548</v>
      </c>
      <c r="BO13" s="43">
        <f>810960/1000000</f>
        <v>0.81096</v>
      </c>
      <c r="BP13" s="75">
        <f t="shared" si="4"/>
        <v>10.010529</v>
      </c>
      <c r="BQ13" s="43">
        <f>731901/1000000</f>
        <v>0.731901</v>
      </c>
      <c r="BR13" s="43">
        <f>702155/1000000</f>
        <v>0.702155</v>
      </c>
      <c r="BS13" s="43">
        <f>812245/1000000</f>
        <v>0.812245</v>
      </c>
      <c r="BT13" s="43">
        <f>886648/1000000</f>
        <v>0.886648</v>
      </c>
      <c r="BU13" s="43">
        <f>866976/1000000</f>
        <v>0.866976</v>
      </c>
      <c r="BV13" s="43">
        <f>848383/1000000</f>
        <v>0.848383</v>
      </c>
      <c r="BW13" s="43">
        <f>892053/1000000</f>
        <v>0.892053</v>
      </c>
      <c r="BX13" s="43">
        <f>959566/1000000</f>
        <v>0.959566</v>
      </c>
      <c r="BY13" s="43">
        <f>779069/1000000</f>
        <v>0.779069</v>
      </c>
      <c r="BZ13" s="43">
        <f>899240/1000000</f>
        <v>0.89924</v>
      </c>
      <c r="CA13" s="43">
        <f>980337/1000000</f>
        <v>0.980337</v>
      </c>
      <c r="CB13" s="43">
        <f>863145/1000000</f>
        <v>0.863145</v>
      </c>
      <c r="CC13" s="75">
        <f t="shared" si="5"/>
        <v>10.221718</v>
      </c>
      <c r="CD13" s="43">
        <f>898537/1000000</f>
        <v>0.898537</v>
      </c>
      <c r="CE13" s="43">
        <f>1404728/1000000</f>
        <v>1.404728</v>
      </c>
      <c r="CF13" s="43">
        <f>1007339/1000000</f>
        <v>1.007339</v>
      </c>
      <c r="CG13" s="43">
        <f>919340/1000000</f>
        <v>0.91934</v>
      </c>
      <c r="CH13" s="43">
        <f>1354799/1000000</f>
        <v>1.354799</v>
      </c>
      <c r="CI13" s="43">
        <f>270133/1000000</f>
        <v>0.270133</v>
      </c>
      <c r="CJ13" s="43">
        <f>1312967/1000000</f>
        <v>1.312967</v>
      </c>
      <c r="CK13" s="43">
        <f>604562/1000000</f>
        <v>0.604562</v>
      </c>
      <c r="CL13" s="43">
        <f>782355/1000000</f>
        <v>0.782355</v>
      </c>
      <c r="CM13" s="43">
        <f>176961/1000000</f>
        <v>0.176961</v>
      </c>
      <c r="CN13" s="44"/>
      <c r="CO13" s="43">
        <f>668636/1000000</f>
        <v>0.668636</v>
      </c>
      <c r="CP13" s="75">
        <f t="shared" si="6"/>
        <v>9.400357</v>
      </c>
      <c r="CQ13" s="43">
        <f aca="true" t="shared" si="54" ref="CQ13:DB13">SUM(CQ11:CQ12)</f>
        <v>0.6699999999999999</v>
      </c>
      <c r="CR13" s="43">
        <f t="shared" si="54"/>
        <v>0.69</v>
      </c>
      <c r="CS13" s="43">
        <f t="shared" si="54"/>
        <v>0.75</v>
      </c>
      <c r="CT13" s="43">
        <f t="shared" si="54"/>
        <v>0.99</v>
      </c>
      <c r="CU13" s="43">
        <f t="shared" si="54"/>
        <v>1.12</v>
      </c>
      <c r="CV13" s="43">
        <f t="shared" si="54"/>
        <v>0.94</v>
      </c>
      <c r="CW13" s="43">
        <f t="shared" si="54"/>
        <v>1.07</v>
      </c>
      <c r="CX13" s="43">
        <f t="shared" si="54"/>
        <v>1.01</v>
      </c>
      <c r="CY13" s="43">
        <f t="shared" si="54"/>
        <v>1.07</v>
      </c>
      <c r="CZ13" s="43">
        <f t="shared" si="54"/>
        <v>1.58</v>
      </c>
      <c r="DA13" s="43">
        <f t="shared" si="54"/>
        <v>0.71</v>
      </c>
      <c r="DB13" s="43">
        <f t="shared" si="54"/>
        <v>1.08</v>
      </c>
      <c r="DC13" s="75">
        <f t="shared" si="7"/>
        <v>11.680000000000001</v>
      </c>
      <c r="DD13" s="43">
        <f aca="true" t="shared" si="55" ref="DD13:DO13">SUM(DD11:DD12)</f>
        <v>0.82</v>
      </c>
      <c r="DE13" s="43">
        <f t="shared" si="55"/>
        <v>0.83</v>
      </c>
      <c r="DF13" s="43">
        <f t="shared" si="55"/>
        <v>1.26</v>
      </c>
      <c r="DG13" s="43">
        <f t="shared" si="55"/>
        <v>1.2</v>
      </c>
      <c r="DH13" s="43">
        <f t="shared" si="55"/>
        <v>1.12</v>
      </c>
      <c r="DI13" s="43">
        <f t="shared" si="55"/>
        <v>1.5499999999999998</v>
      </c>
      <c r="DJ13" s="43">
        <f t="shared" si="55"/>
        <v>1.06</v>
      </c>
      <c r="DK13" s="43">
        <f t="shared" si="55"/>
        <v>0.99</v>
      </c>
      <c r="DL13" s="43">
        <f t="shared" si="55"/>
        <v>1.07</v>
      </c>
      <c r="DM13" s="43">
        <f t="shared" si="55"/>
        <v>1.27</v>
      </c>
      <c r="DN13" s="43">
        <f t="shared" si="55"/>
        <v>1.25</v>
      </c>
      <c r="DO13" s="43">
        <f t="shared" si="55"/>
        <v>1.08</v>
      </c>
      <c r="DP13" s="75">
        <f t="shared" si="8"/>
        <v>13.5</v>
      </c>
      <c r="DQ13" s="43">
        <f aca="true" t="shared" si="56" ref="DQ13:EB13">SUM(DQ11:DQ12)</f>
        <v>1</v>
      </c>
      <c r="DR13" s="43">
        <f t="shared" si="56"/>
        <v>0.98</v>
      </c>
      <c r="DS13" s="43">
        <f t="shared" si="56"/>
        <v>1.1500000000000001</v>
      </c>
      <c r="DT13" s="43">
        <f t="shared" si="56"/>
        <v>1.23</v>
      </c>
      <c r="DU13" s="43">
        <f t="shared" si="56"/>
        <v>1.3800000000000001</v>
      </c>
      <c r="DV13" s="43">
        <f t="shared" si="56"/>
        <v>1.49</v>
      </c>
      <c r="DW13" s="43">
        <f t="shared" si="56"/>
        <v>1.77</v>
      </c>
      <c r="DX13" s="43">
        <f t="shared" si="56"/>
        <v>1.37</v>
      </c>
      <c r="DY13" s="43">
        <f t="shared" si="56"/>
        <v>1.9900000000000002</v>
      </c>
      <c r="DZ13" s="43">
        <f t="shared" si="56"/>
        <v>1.75</v>
      </c>
      <c r="EA13" s="43">
        <f t="shared" si="56"/>
        <v>2.0999999999999996</v>
      </c>
      <c r="EB13" s="43">
        <f t="shared" si="56"/>
        <v>2.36</v>
      </c>
      <c r="EC13" s="75">
        <f t="shared" si="9"/>
        <v>18.57</v>
      </c>
      <c r="ED13" s="43">
        <f aca="true" t="shared" si="57" ref="ED13:EO13">SUM(ED11:ED12)</f>
        <v>1.21</v>
      </c>
      <c r="EE13" s="43">
        <f t="shared" si="57"/>
        <v>2.97</v>
      </c>
      <c r="EF13" s="43">
        <f t="shared" si="57"/>
        <v>1.36</v>
      </c>
      <c r="EG13" s="43">
        <f t="shared" si="57"/>
        <v>1.7000000000000002</v>
      </c>
      <c r="EH13" s="43">
        <f t="shared" si="57"/>
        <v>1.98</v>
      </c>
      <c r="EI13" s="43">
        <f t="shared" si="57"/>
        <v>2.2600000000000002</v>
      </c>
      <c r="EJ13" s="43">
        <f t="shared" si="57"/>
        <v>2.3600000000000003</v>
      </c>
      <c r="EK13" s="43">
        <f t="shared" si="57"/>
        <v>2.66</v>
      </c>
      <c r="EL13" s="43">
        <f t="shared" si="57"/>
        <v>2.27</v>
      </c>
      <c r="EM13" s="43">
        <f t="shared" si="57"/>
        <v>2.95</v>
      </c>
      <c r="EN13" s="43">
        <f t="shared" si="57"/>
        <v>3.33</v>
      </c>
      <c r="EO13" s="43">
        <f t="shared" si="57"/>
        <v>2.5700000000000003</v>
      </c>
      <c r="EP13" s="75">
        <f t="shared" si="10"/>
        <v>27.619999999999997</v>
      </c>
      <c r="EQ13" s="43">
        <f aca="true" t="shared" si="58" ref="EQ13:FB13">SUM(EQ11:EQ12)</f>
        <v>3.0500000000000003</v>
      </c>
      <c r="ER13" s="43">
        <f t="shared" si="58"/>
        <v>2.4299999999999997</v>
      </c>
      <c r="ES13" s="43">
        <f t="shared" si="58"/>
        <v>2.78</v>
      </c>
      <c r="ET13" s="43">
        <f t="shared" si="58"/>
        <v>3.3699999999999997</v>
      </c>
      <c r="EU13" s="43">
        <f t="shared" si="58"/>
        <v>3.1199999999999997</v>
      </c>
      <c r="EV13" s="43">
        <f t="shared" si="58"/>
        <v>3.11</v>
      </c>
      <c r="EW13" s="43">
        <f t="shared" si="58"/>
        <v>2.38</v>
      </c>
      <c r="EX13" s="43">
        <f t="shared" si="58"/>
        <v>3.4099999999999997</v>
      </c>
      <c r="EY13" s="43">
        <f t="shared" si="58"/>
        <v>3.29</v>
      </c>
      <c r="EZ13" s="43">
        <f t="shared" si="58"/>
        <v>3.62</v>
      </c>
      <c r="FA13" s="43">
        <f t="shared" si="58"/>
        <v>3.2399999999999998</v>
      </c>
      <c r="FB13" s="43">
        <f t="shared" si="58"/>
        <v>3.33</v>
      </c>
      <c r="FC13" s="75">
        <f t="shared" si="11"/>
        <v>37.129999999999995</v>
      </c>
      <c r="FD13" s="43">
        <f aca="true" t="shared" si="59" ref="FD13:FO13">SUM(FD11:FD12)</f>
        <v>3.27</v>
      </c>
      <c r="FE13" s="43">
        <f t="shared" si="59"/>
        <v>3.29</v>
      </c>
      <c r="FF13" s="43">
        <f t="shared" si="59"/>
        <v>3.8000000000000003</v>
      </c>
      <c r="FG13" s="43">
        <f t="shared" si="59"/>
        <v>3.25</v>
      </c>
      <c r="FH13" s="43">
        <f t="shared" si="59"/>
        <v>3.29</v>
      </c>
      <c r="FI13" s="43">
        <f t="shared" si="59"/>
        <v>3.6599999999999997</v>
      </c>
      <c r="FJ13" s="43">
        <f t="shared" si="59"/>
        <v>2.5799999999999996</v>
      </c>
      <c r="FK13" s="43">
        <f t="shared" si="59"/>
        <v>3.25</v>
      </c>
      <c r="FL13" s="43">
        <f t="shared" si="59"/>
        <v>3.13</v>
      </c>
      <c r="FM13" s="43">
        <f t="shared" si="59"/>
        <v>3.08</v>
      </c>
      <c r="FN13" s="43">
        <f t="shared" si="59"/>
        <v>3.58</v>
      </c>
      <c r="FO13" s="43">
        <f t="shared" si="59"/>
        <v>2.8699999999999997</v>
      </c>
      <c r="FP13" s="75">
        <f t="shared" si="12"/>
        <v>39.05</v>
      </c>
      <c r="FQ13" s="43">
        <f aca="true" t="shared" si="60" ref="FQ13:GB13">SUM(FQ11:FQ12)</f>
        <v>2.33</v>
      </c>
      <c r="FR13" s="43">
        <f t="shared" si="60"/>
        <v>2.09</v>
      </c>
      <c r="FS13" s="43">
        <f t="shared" si="60"/>
        <v>2.306</v>
      </c>
      <c r="FT13" s="43">
        <f t="shared" si="60"/>
        <v>2.69</v>
      </c>
      <c r="FU13" s="43">
        <f t="shared" si="60"/>
        <v>2.4699999999999998</v>
      </c>
      <c r="FV13" s="43">
        <f t="shared" si="60"/>
        <v>2.38</v>
      </c>
      <c r="FW13" s="43">
        <f t="shared" si="60"/>
        <v>3.05</v>
      </c>
      <c r="FX13" s="43">
        <f t="shared" si="60"/>
        <v>3.69</v>
      </c>
      <c r="FY13" s="43">
        <f t="shared" si="60"/>
        <v>5.62</v>
      </c>
      <c r="FZ13" s="43">
        <f t="shared" si="60"/>
        <v>5.52</v>
      </c>
      <c r="GA13" s="43">
        <f t="shared" si="60"/>
        <v>5.3</v>
      </c>
      <c r="GB13" s="43">
        <f t="shared" si="60"/>
        <v>5.04</v>
      </c>
      <c r="GC13" s="75">
        <f t="shared" si="13"/>
        <v>42.486</v>
      </c>
      <c r="GD13" s="43">
        <f aca="true" t="shared" si="61" ref="GD13:GO13">SUM(GD11:GD12)</f>
        <v>5.4</v>
      </c>
      <c r="GE13" s="43">
        <f t="shared" si="61"/>
        <v>5.86</v>
      </c>
      <c r="GF13" s="43">
        <f t="shared" si="61"/>
        <v>8.81</v>
      </c>
      <c r="GG13" s="43">
        <f t="shared" si="61"/>
        <v>6.13</v>
      </c>
      <c r="GH13" s="43">
        <f t="shared" si="61"/>
        <v>6.28</v>
      </c>
      <c r="GI13" s="43">
        <f t="shared" si="61"/>
        <v>6.52</v>
      </c>
      <c r="GJ13" s="43">
        <f t="shared" si="61"/>
        <v>6.27</v>
      </c>
      <c r="GK13" s="43">
        <f t="shared" si="61"/>
        <v>8.85</v>
      </c>
      <c r="GL13" s="43">
        <f t="shared" si="61"/>
        <v>6.26</v>
      </c>
      <c r="GM13" s="43">
        <f t="shared" si="61"/>
        <v>7.43</v>
      </c>
      <c r="GN13" s="43">
        <f t="shared" si="61"/>
        <v>8.209999999999999</v>
      </c>
      <c r="GO13" s="43">
        <f t="shared" si="61"/>
        <v>7.98</v>
      </c>
      <c r="GP13" s="75">
        <f t="shared" si="14"/>
        <v>84</v>
      </c>
      <c r="GQ13" s="43">
        <f aca="true" t="shared" si="62" ref="GQ13:HB13">SUM(GQ11:GQ12)</f>
        <v>8.11</v>
      </c>
      <c r="GR13" s="43">
        <f t="shared" si="62"/>
        <v>6.68</v>
      </c>
      <c r="GS13" s="43">
        <f t="shared" si="62"/>
        <v>10.12</v>
      </c>
      <c r="GT13" s="43">
        <f t="shared" si="62"/>
        <v>7.69</v>
      </c>
      <c r="GU13" s="43">
        <f t="shared" si="62"/>
        <v>10.01</v>
      </c>
      <c r="GV13" s="43">
        <f t="shared" si="62"/>
        <v>8.73</v>
      </c>
      <c r="GW13" s="43">
        <f t="shared" si="62"/>
        <v>10.7</v>
      </c>
      <c r="GX13" s="43">
        <f t="shared" si="62"/>
        <v>9.97</v>
      </c>
      <c r="GY13" s="43">
        <f t="shared" si="62"/>
        <v>8.65</v>
      </c>
      <c r="GZ13" s="43">
        <f t="shared" si="62"/>
        <v>10.969999999999999</v>
      </c>
      <c r="HA13" s="43">
        <f t="shared" si="62"/>
        <v>9.58</v>
      </c>
      <c r="HB13" s="43">
        <f t="shared" si="62"/>
        <v>10.01</v>
      </c>
      <c r="HC13" s="75">
        <f t="shared" si="15"/>
        <v>111.22</v>
      </c>
      <c r="HD13" s="43">
        <f aca="true" t="shared" si="63" ref="HD13:HO13">SUM(HD11:HD12)</f>
        <v>10.04</v>
      </c>
      <c r="HE13" s="43">
        <f t="shared" si="63"/>
        <v>8.97</v>
      </c>
      <c r="HF13" s="43">
        <f t="shared" si="63"/>
        <v>9.719999999999999</v>
      </c>
      <c r="HG13" s="43">
        <f t="shared" si="63"/>
        <v>10.389999999999999</v>
      </c>
      <c r="HH13" s="43">
        <f t="shared" si="63"/>
        <v>9.899999999999999</v>
      </c>
      <c r="HI13" s="43">
        <f t="shared" si="63"/>
        <v>8.74</v>
      </c>
      <c r="HJ13" s="43">
        <f t="shared" si="63"/>
        <v>11.159999999999998</v>
      </c>
      <c r="HK13" s="43">
        <f t="shared" si="63"/>
        <v>13.65</v>
      </c>
      <c r="HL13" s="43">
        <f t="shared" si="63"/>
        <v>13.48</v>
      </c>
      <c r="HM13" s="43">
        <f t="shared" si="63"/>
        <v>17.11</v>
      </c>
      <c r="HN13" s="43">
        <f t="shared" si="63"/>
        <v>12.31</v>
      </c>
      <c r="HO13" s="43">
        <f t="shared" si="63"/>
        <v>10.78</v>
      </c>
      <c r="HP13" s="75">
        <f t="shared" si="16"/>
        <v>136.25</v>
      </c>
      <c r="HQ13" s="43">
        <f aca="true" t="shared" si="64" ref="HQ13:IB13">SUM(HQ11:HQ12)</f>
        <v>12.719999999999999</v>
      </c>
      <c r="HR13" s="43">
        <f t="shared" si="64"/>
        <v>9.32</v>
      </c>
      <c r="HS13" s="43">
        <f t="shared" si="64"/>
        <v>9.129999999999999</v>
      </c>
      <c r="HT13" s="43">
        <f t="shared" si="64"/>
        <v>11.129999999999999</v>
      </c>
      <c r="HU13" s="43">
        <f t="shared" si="64"/>
        <v>15.899999999999999</v>
      </c>
      <c r="HV13" s="43">
        <f t="shared" si="64"/>
        <v>11.18</v>
      </c>
      <c r="HW13" s="43">
        <f t="shared" si="64"/>
        <v>14.27</v>
      </c>
      <c r="HX13" s="43">
        <f t="shared" si="64"/>
        <v>11.51</v>
      </c>
      <c r="HY13" s="43">
        <f t="shared" si="64"/>
        <v>14.94</v>
      </c>
      <c r="HZ13" s="43">
        <f t="shared" si="64"/>
        <v>13.63</v>
      </c>
      <c r="IA13" s="43">
        <f t="shared" si="64"/>
        <v>15.74</v>
      </c>
      <c r="IB13" s="43">
        <f t="shared" si="64"/>
        <v>16.11</v>
      </c>
      <c r="IC13" s="75">
        <f t="shared" si="17"/>
        <v>155.57999999999998</v>
      </c>
    </row>
    <row r="14" spans="1:237" s="1" customFormat="1" ht="30" customHeight="1">
      <c r="A14" s="98" t="s">
        <v>10</v>
      </c>
      <c r="B14" s="100" t="s">
        <v>8</v>
      </c>
      <c r="C14" s="17" t="s">
        <v>15</v>
      </c>
      <c r="D14" s="6">
        <v>1217.605</v>
      </c>
      <c r="E14" s="6">
        <v>179.817</v>
      </c>
      <c r="F14" s="6">
        <v>413.911</v>
      </c>
      <c r="G14" s="6">
        <v>674.123</v>
      </c>
      <c r="H14" s="6">
        <v>592.798</v>
      </c>
      <c r="I14" s="6">
        <v>633.983</v>
      </c>
      <c r="J14" s="6">
        <v>707.042</v>
      </c>
      <c r="K14" s="6">
        <v>680.133</v>
      </c>
      <c r="L14" s="6">
        <v>589.345</v>
      </c>
      <c r="M14" s="6">
        <v>671.477</v>
      </c>
      <c r="N14" s="6"/>
      <c r="O14" s="6">
        <v>578.898</v>
      </c>
      <c r="P14" s="65">
        <f t="shared" si="0"/>
        <v>6939.1320000000005</v>
      </c>
      <c r="Q14" s="28">
        <v>546.688</v>
      </c>
      <c r="R14" s="28">
        <v>502.336</v>
      </c>
      <c r="S14" s="28">
        <v>572.79</v>
      </c>
      <c r="T14" s="28">
        <v>521.973</v>
      </c>
      <c r="U14" s="28">
        <v>584.307</v>
      </c>
      <c r="V14" s="28">
        <v>561.66</v>
      </c>
      <c r="W14" s="28">
        <v>684.976</v>
      </c>
      <c r="X14" s="28">
        <v>576.819</v>
      </c>
      <c r="Y14" s="28">
        <v>583.192</v>
      </c>
      <c r="Z14" s="28">
        <v>601.432</v>
      </c>
      <c r="AA14" s="28">
        <v>463.702</v>
      </c>
      <c r="AB14" s="28">
        <v>699.641</v>
      </c>
      <c r="AC14" s="80">
        <f t="shared" si="1"/>
        <v>6899.516</v>
      </c>
      <c r="AD14" s="23">
        <v>466.549</v>
      </c>
      <c r="AE14" s="23">
        <v>412.041</v>
      </c>
      <c r="AF14" s="23">
        <v>580.344</v>
      </c>
      <c r="AG14" s="23">
        <v>616.975</v>
      </c>
      <c r="AH14" s="23">
        <v>504.937</v>
      </c>
      <c r="AI14" s="23">
        <v>565.395</v>
      </c>
      <c r="AJ14" s="23">
        <v>603.531</v>
      </c>
      <c r="AK14" s="23">
        <v>595.75</v>
      </c>
      <c r="AL14" s="23">
        <v>629.549</v>
      </c>
      <c r="AM14" s="23">
        <v>474.462</v>
      </c>
      <c r="AN14" s="23">
        <f>543.371</f>
        <v>543.371</v>
      </c>
      <c r="AO14" s="23">
        <v>578.011</v>
      </c>
      <c r="AP14" s="73">
        <f t="shared" si="2"/>
        <v>6570.914999999999</v>
      </c>
      <c r="AQ14" s="23">
        <v>410.463</v>
      </c>
      <c r="AR14" s="23">
        <v>367.259</v>
      </c>
      <c r="AS14" s="23">
        <v>521.677</v>
      </c>
      <c r="AT14" s="23">
        <v>521.312</v>
      </c>
      <c r="AU14" s="23">
        <f>520.587</f>
        <v>520.587</v>
      </c>
      <c r="AV14" s="23">
        <v>536.492</v>
      </c>
      <c r="AW14" s="23">
        <v>591.268</v>
      </c>
      <c r="AX14" s="23">
        <v>630.485</v>
      </c>
      <c r="AY14" s="23">
        <v>589.683</v>
      </c>
      <c r="AZ14" s="23">
        <v>454.203</v>
      </c>
      <c r="BA14" s="23">
        <v>553.571</v>
      </c>
      <c r="BB14" s="23">
        <v>478.571</v>
      </c>
      <c r="BC14" s="73">
        <f t="shared" si="3"/>
        <v>6175.571</v>
      </c>
      <c r="BD14" s="23">
        <v>403.792</v>
      </c>
      <c r="BE14" s="23">
        <v>450.475</v>
      </c>
      <c r="BF14" s="23">
        <v>524.267</v>
      </c>
      <c r="BG14" s="23">
        <v>442.279</v>
      </c>
      <c r="BH14" s="23">
        <v>564.118</v>
      </c>
      <c r="BI14" s="23">
        <v>572.04</v>
      </c>
      <c r="BJ14" s="23">
        <v>521.422</v>
      </c>
      <c r="BK14" s="23">
        <v>646.24</v>
      </c>
      <c r="BL14" s="23">
        <v>474.027</v>
      </c>
      <c r="BM14" s="23">
        <v>463.072</v>
      </c>
      <c r="BN14" s="23">
        <v>591.083</v>
      </c>
      <c r="BO14" s="23">
        <v>587.103</v>
      </c>
      <c r="BP14" s="73">
        <f t="shared" si="4"/>
        <v>6239.918</v>
      </c>
      <c r="BQ14" s="23">
        <v>434.643</v>
      </c>
      <c r="BR14" s="23">
        <v>437.99</v>
      </c>
      <c r="BS14" s="23">
        <v>569.65</v>
      </c>
      <c r="BT14" s="23">
        <v>559.03</v>
      </c>
      <c r="BU14" s="23">
        <v>623.57</v>
      </c>
      <c r="BV14" s="23">
        <v>566.27</v>
      </c>
      <c r="BW14" s="23">
        <v>610.22</v>
      </c>
      <c r="BX14" s="23">
        <v>668.93</v>
      </c>
      <c r="BY14" s="23">
        <v>524.96</v>
      </c>
      <c r="BZ14" s="23">
        <v>649.18</v>
      </c>
      <c r="CA14" s="23">
        <v>662.88</v>
      </c>
      <c r="CB14" s="23">
        <v>560.55</v>
      </c>
      <c r="CC14" s="73">
        <f t="shared" si="5"/>
        <v>6867.8730000000005</v>
      </c>
      <c r="CD14" s="45">
        <v>560.55</v>
      </c>
      <c r="CE14" s="46">
        <v>535.09</v>
      </c>
      <c r="CF14" s="46">
        <v>593.83</v>
      </c>
      <c r="CG14" s="46">
        <v>685.92</v>
      </c>
      <c r="CH14" s="46">
        <v>729.36</v>
      </c>
      <c r="CI14" s="46">
        <v>702.1</v>
      </c>
      <c r="CJ14" s="46">
        <v>729.36</v>
      </c>
      <c r="CK14" s="46">
        <v>728.82</v>
      </c>
      <c r="CL14" s="46">
        <v>621.93</v>
      </c>
      <c r="CM14" s="46">
        <v>713.13</v>
      </c>
      <c r="CN14" s="47"/>
      <c r="CO14" s="46">
        <v>643.44</v>
      </c>
      <c r="CP14" s="73">
        <f t="shared" si="6"/>
        <v>7243.530000000001</v>
      </c>
      <c r="CQ14" s="23">
        <v>695.6</v>
      </c>
      <c r="CR14" s="23">
        <v>592.28</v>
      </c>
      <c r="CS14" s="23">
        <v>631.32</v>
      </c>
      <c r="CT14" s="23">
        <v>990.58</v>
      </c>
      <c r="CU14" s="23">
        <v>554.14</v>
      </c>
      <c r="CV14" s="23">
        <v>653.02</v>
      </c>
      <c r="CW14" s="23">
        <v>854.36</v>
      </c>
      <c r="CX14" s="23">
        <v>763.73</v>
      </c>
      <c r="CY14" s="23">
        <v>751.65</v>
      </c>
      <c r="CZ14" s="23">
        <v>800.34</v>
      </c>
      <c r="DA14" s="23">
        <v>789.7</v>
      </c>
      <c r="DB14" s="23">
        <v>946.95</v>
      </c>
      <c r="DC14" s="73">
        <f t="shared" si="7"/>
        <v>9023.67</v>
      </c>
      <c r="DD14" s="23">
        <v>777.84</v>
      </c>
      <c r="DE14" s="23">
        <v>702.01</v>
      </c>
      <c r="DF14" s="23">
        <v>927.49</v>
      </c>
      <c r="DG14" s="23">
        <v>855.72</v>
      </c>
      <c r="DH14" s="23">
        <v>973.08</v>
      </c>
      <c r="DI14" s="23">
        <v>944.11</v>
      </c>
      <c r="DJ14" s="23">
        <v>885.89</v>
      </c>
      <c r="DK14" s="23">
        <v>817.18</v>
      </c>
      <c r="DL14" s="23">
        <v>833.07</v>
      </c>
      <c r="DM14" s="23">
        <v>860.2</v>
      </c>
      <c r="DN14" s="23">
        <v>854.93</v>
      </c>
      <c r="DO14" s="23">
        <v>877.75</v>
      </c>
      <c r="DP14" s="73">
        <f t="shared" si="8"/>
        <v>10309.27</v>
      </c>
      <c r="DQ14" s="23">
        <v>772.06</v>
      </c>
      <c r="DR14" s="23">
        <v>786.37</v>
      </c>
      <c r="DS14" s="23">
        <v>885.45</v>
      </c>
      <c r="DT14" s="23">
        <v>886.47</v>
      </c>
      <c r="DU14" s="23">
        <v>971.66</v>
      </c>
      <c r="DV14" s="23">
        <v>1043.56</v>
      </c>
      <c r="DW14" s="23">
        <v>1035.7</v>
      </c>
      <c r="DX14" s="23">
        <v>1052.45</v>
      </c>
      <c r="DY14" s="23">
        <v>1276.67</v>
      </c>
      <c r="DZ14" s="23">
        <v>862.22</v>
      </c>
      <c r="EA14" s="23">
        <v>964.53</v>
      </c>
      <c r="EB14" s="23">
        <v>942.95</v>
      </c>
      <c r="EC14" s="73">
        <f t="shared" si="9"/>
        <v>11480.09</v>
      </c>
      <c r="ED14" s="23">
        <v>897.3</v>
      </c>
      <c r="EE14" s="23">
        <v>935.05</v>
      </c>
      <c r="EF14" s="23">
        <v>1035.75</v>
      </c>
      <c r="EG14" s="23">
        <v>1159.22</v>
      </c>
      <c r="EH14" s="23">
        <v>1243.65</v>
      </c>
      <c r="EI14" s="23">
        <v>1320.86</v>
      </c>
      <c r="EJ14" s="23">
        <v>1603.64</v>
      </c>
      <c r="EK14" s="23">
        <v>938.7</v>
      </c>
      <c r="EL14" s="23">
        <v>1501.81</v>
      </c>
      <c r="EM14" s="23">
        <v>1508.58</v>
      </c>
      <c r="EN14" s="23">
        <v>1028.83</v>
      </c>
      <c r="EO14" s="23">
        <v>934.57</v>
      </c>
      <c r="EP14" s="73">
        <f t="shared" si="10"/>
        <v>14107.96</v>
      </c>
      <c r="EQ14" s="23">
        <v>764.81</v>
      </c>
      <c r="ER14" s="23">
        <v>945.61</v>
      </c>
      <c r="ES14" s="23">
        <v>791.38</v>
      </c>
      <c r="ET14" s="23">
        <v>638.53</v>
      </c>
      <c r="EU14" s="23">
        <v>912</v>
      </c>
      <c r="EV14" s="23">
        <v>794.88</v>
      </c>
      <c r="EW14" s="23">
        <v>1026.77</v>
      </c>
      <c r="EX14" s="23">
        <v>1088.75</v>
      </c>
      <c r="EY14" s="23">
        <v>693.41</v>
      </c>
      <c r="EZ14" s="23">
        <v>1164.11</v>
      </c>
      <c r="FA14" s="23">
        <v>616.72</v>
      </c>
      <c r="FB14" s="23">
        <v>734.76</v>
      </c>
      <c r="FC14" s="73">
        <f t="shared" si="11"/>
        <v>10171.73</v>
      </c>
      <c r="FD14" s="23">
        <v>791.12</v>
      </c>
      <c r="FE14" s="23">
        <v>828.83</v>
      </c>
      <c r="FF14" s="23">
        <v>557.25</v>
      </c>
      <c r="FG14" s="23">
        <v>745.05</v>
      </c>
      <c r="FH14" s="23">
        <v>943.97</v>
      </c>
      <c r="FI14" s="23">
        <v>482.89</v>
      </c>
      <c r="FJ14" s="23">
        <v>729.45</v>
      </c>
      <c r="FK14" s="23">
        <v>1044</v>
      </c>
      <c r="FL14" s="23">
        <v>961.7</v>
      </c>
      <c r="FM14" s="23">
        <v>864.94</v>
      </c>
      <c r="FN14" s="23">
        <v>646.97</v>
      </c>
      <c r="FO14" s="23">
        <v>1113.31</v>
      </c>
      <c r="FP14" s="73">
        <f t="shared" si="12"/>
        <v>9709.48</v>
      </c>
      <c r="FQ14" s="23">
        <v>307.78</v>
      </c>
      <c r="FR14" s="23">
        <v>254.63</v>
      </c>
      <c r="FS14" s="23">
        <v>421.73</v>
      </c>
      <c r="FT14" s="23">
        <v>488.98</v>
      </c>
      <c r="FU14" s="23">
        <v>451.54</v>
      </c>
      <c r="FV14" s="23">
        <v>488.8</v>
      </c>
      <c r="FW14" s="23">
        <v>633.9</v>
      </c>
      <c r="FX14" s="23">
        <v>607</v>
      </c>
      <c r="FY14" s="23">
        <v>777.55</v>
      </c>
      <c r="FZ14" s="23">
        <v>532.44</v>
      </c>
      <c r="GA14" s="23">
        <v>391.79</v>
      </c>
      <c r="GB14" s="23">
        <v>693.72</v>
      </c>
      <c r="GC14" s="73">
        <f t="shared" si="13"/>
        <v>6049.860000000001</v>
      </c>
      <c r="GD14" s="23">
        <v>337.56</v>
      </c>
      <c r="GE14" s="23">
        <v>327.25</v>
      </c>
      <c r="GF14" s="23">
        <v>454.35</v>
      </c>
      <c r="GG14" s="23">
        <v>411.92</v>
      </c>
      <c r="GH14" s="23">
        <v>428.22</v>
      </c>
      <c r="GI14" s="23">
        <v>465.93</v>
      </c>
      <c r="GJ14" s="23">
        <v>470.49</v>
      </c>
      <c r="GK14" s="23">
        <v>597.6</v>
      </c>
      <c r="GL14" s="23">
        <v>628.67</v>
      </c>
      <c r="GM14" s="23">
        <v>457.25</v>
      </c>
      <c r="GN14" s="23">
        <v>467.81</v>
      </c>
      <c r="GO14" s="23">
        <v>442.77</v>
      </c>
      <c r="GP14" s="73">
        <f t="shared" si="14"/>
        <v>5489.82</v>
      </c>
      <c r="GQ14" s="23">
        <v>329.97</v>
      </c>
      <c r="GR14" s="23">
        <v>372</v>
      </c>
      <c r="GS14" s="23">
        <v>562.51</v>
      </c>
      <c r="GT14" s="23">
        <v>169.53</v>
      </c>
      <c r="GU14" s="23">
        <v>322.58</v>
      </c>
      <c r="GV14" s="23">
        <v>291.05</v>
      </c>
      <c r="GW14" s="23">
        <v>401.28</v>
      </c>
      <c r="GX14" s="23">
        <v>444.53</v>
      </c>
      <c r="GY14" s="23">
        <v>375.61</v>
      </c>
      <c r="GZ14" s="23">
        <v>330.37</v>
      </c>
      <c r="HA14" s="23">
        <v>290.12</v>
      </c>
      <c r="HB14" s="23">
        <v>284.14</v>
      </c>
      <c r="HC14" s="73">
        <f t="shared" si="15"/>
        <v>4173.69</v>
      </c>
      <c r="HD14" s="23">
        <v>243.31</v>
      </c>
      <c r="HE14" s="23">
        <v>255.14</v>
      </c>
      <c r="HF14" s="23">
        <v>311.52</v>
      </c>
      <c r="HG14" s="23">
        <v>312.01</v>
      </c>
      <c r="HH14" s="23">
        <v>331.82</v>
      </c>
      <c r="HI14" s="23">
        <v>312.04</v>
      </c>
      <c r="HJ14" s="23">
        <v>386.7</v>
      </c>
      <c r="HK14" s="23">
        <v>393.79</v>
      </c>
      <c r="HL14" s="23">
        <v>386.14</v>
      </c>
      <c r="HM14" s="23">
        <v>331.33</v>
      </c>
      <c r="HN14" s="23">
        <v>350.38</v>
      </c>
      <c r="HO14" s="23">
        <v>316.21</v>
      </c>
      <c r="HP14" s="73">
        <f t="shared" si="16"/>
        <v>3930.39</v>
      </c>
      <c r="HQ14" s="23">
        <v>374.88</v>
      </c>
      <c r="HR14" s="23">
        <v>316.43</v>
      </c>
      <c r="HS14" s="23">
        <v>328.88</v>
      </c>
      <c r="HT14" s="23">
        <v>481.93</v>
      </c>
      <c r="HU14" s="23">
        <v>551.03</v>
      </c>
      <c r="HV14" s="23">
        <v>372.79</v>
      </c>
      <c r="HW14" s="23">
        <v>350.25</v>
      </c>
      <c r="HX14" s="23">
        <v>311.23</v>
      </c>
      <c r="HY14" s="23">
        <v>652.38</v>
      </c>
      <c r="HZ14" s="23">
        <v>324.48</v>
      </c>
      <c r="IA14" s="23">
        <v>206.11</v>
      </c>
      <c r="IB14" s="23">
        <v>291.7</v>
      </c>
      <c r="IC14" s="73">
        <f t="shared" si="17"/>
        <v>4562.089999999999</v>
      </c>
    </row>
    <row r="15" spans="1:237" s="1" customFormat="1" ht="30" customHeight="1">
      <c r="A15" s="99"/>
      <c r="B15" s="101"/>
      <c r="C15" s="19" t="s">
        <v>3</v>
      </c>
      <c r="D15" s="16">
        <v>2.697</v>
      </c>
      <c r="E15" s="16">
        <v>0.033</v>
      </c>
      <c r="F15" s="16">
        <v>0.035</v>
      </c>
      <c r="G15" s="16">
        <v>0.013</v>
      </c>
      <c r="H15" s="16">
        <v>0.005</v>
      </c>
      <c r="I15" s="16">
        <v>0.001</v>
      </c>
      <c r="J15" s="16">
        <v>0</v>
      </c>
      <c r="K15" s="16">
        <v>0</v>
      </c>
      <c r="L15" s="16">
        <v>0</v>
      </c>
      <c r="M15" s="16">
        <v>0</v>
      </c>
      <c r="N15" s="16"/>
      <c r="O15" s="16">
        <v>6.79</v>
      </c>
      <c r="P15" s="66">
        <f t="shared" si="0"/>
        <v>9.574</v>
      </c>
      <c r="Q15" s="32">
        <v>17.741</v>
      </c>
      <c r="R15" s="32">
        <v>1.076</v>
      </c>
      <c r="S15" s="32">
        <v>4.298</v>
      </c>
      <c r="T15" s="32">
        <v>10.02</v>
      </c>
      <c r="U15" s="32">
        <v>0.18</v>
      </c>
      <c r="V15" s="32">
        <v>0.767</v>
      </c>
      <c r="W15" s="32">
        <v>8.046</v>
      </c>
      <c r="X15" s="32">
        <v>3.026</v>
      </c>
      <c r="Y15" s="32">
        <v>4.24</v>
      </c>
      <c r="Z15" s="32">
        <v>4.254</v>
      </c>
      <c r="AA15" s="32">
        <v>3.645</v>
      </c>
      <c r="AB15" s="32">
        <v>0.526</v>
      </c>
      <c r="AC15" s="66">
        <f t="shared" si="1"/>
        <v>57.81900000000002</v>
      </c>
      <c r="AD15" s="21">
        <v>2.861</v>
      </c>
      <c r="AE15" s="21">
        <v>3.972</v>
      </c>
      <c r="AF15" s="21">
        <v>13.82</v>
      </c>
      <c r="AG15" s="21">
        <v>0.23</v>
      </c>
      <c r="AH15" s="21">
        <v>2.066</v>
      </c>
      <c r="AI15" s="21">
        <v>8.068</v>
      </c>
      <c r="AJ15" s="21">
        <v>8.542</v>
      </c>
      <c r="AK15" s="21">
        <v>3.277</v>
      </c>
      <c r="AL15" s="21">
        <v>1.877</v>
      </c>
      <c r="AM15" s="21">
        <v>4.182</v>
      </c>
      <c r="AN15" s="21">
        <v>3.441</v>
      </c>
      <c r="AO15" s="21">
        <v>5.599</v>
      </c>
      <c r="AP15" s="66">
        <f t="shared" si="2"/>
        <v>57.935</v>
      </c>
      <c r="AQ15" s="21">
        <v>13.863</v>
      </c>
      <c r="AR15" s="21">
        <v>10.33</v>
      </c>
      <c r="AS15" s="21">
        <v>0.264</v>
      </c>
      <c r="AT15" s="21">
        <v>0.436</v>
      </c>
      <c r="AU15" s="21">
        <v>0.997</v>
      </c>
      <c r="AV15" s="21">
        <v>0.04</v>
      </c>
      <c r="AW15" s="21">
        <v>0.376</v>
      </c>
      <c r="AX15" s="21">
        <v>0.161</v>
      </c>
      <c r="AY15" s="21">
        <v>0.235</v>
      </c>
      <c r="AZ15" s="21">
        <v>5.375</v>
      </c>
      <c r="BA15" s="21">
        <v>2.549</v>
      </c>
      <c r="BB15" s="21">
        <v>7.98</v>
      </c>
      <c r="BC15" s="66">
        <f t="shared" si="3"/>
        <v>42.605999999999995</v>
      </c>
      <c r="BD15" s="21">
        <v>4.345</v>
      </c>
      <c r="BE15" s="21">
        <v>0.412</v>
      </c>
      <c r="BF15" s="21">
        <v>5.157</v>
      </c>
      <c r="BG15" s="21">
        <v>1.917</v>
      </c>
      <c r="BH15" s="21">
        <v>5.226</v>
      </c>
      <c r="BI15" s="21">
        <v>2.271</v>
      </c>
      <c r="BJ15" s="21">
        <v>1.98</v>
      </c>
      <c r="BK15" s="21">
        <v>2.82</v>
      </c>
      <c r="BL15" s="21">
        <v>4.753</v>
      </c>
      <c r="BM15" s="21">
        <v>1.705</v>
      </c>
      <c r="BN15" s="21">
        <v>3.03</v>
      </c>
      <c r="BO15" s="21">
        <v>3.63</v>
      </c>
      <c r="BP15" s="66">
        <f t="shared" si="4"/>
        <v>37.246</v>
      </c>
      <c r="BQ15" s="21">
        <v>1.51</v>
      </c>
      <c r="BR15" s="21">
        <v>3</v>
      </c>
      <c r="BS15" s="21">
        <v>5.63</v>
      </c>
      <c r="BT15" s="21">
        <v>3.96</v>
      </c>
      <c r="BU15" s="21">
        <v>2.43</v>
      </c>
      <c r="BV15" s="21">
        <v>1.95</v>
      </c>
      <c r="BW15" s="21">
        <v>4.42</v>
      </c>
      <c r="BX15" s="21">
        <v>2.74</v>
      </c>
      <c r="BY15" s="21">
        <v>0.68</v>
      </c>
      <c r="BZ15" s="21">
        <v>2.182</v>
      </c>
      <c r="CA15" s="21">
        <v>1.55</v>
      </c>
      <c r="CB15" s="21">
        <v>1.506</v>
      </c>
      <c r="CC15" s="66">
        <f t="shared" si="5"/>
        <v>31.558</v>
      </c>
      <c r="CD15" s="48">
        <v>1.506</v>
      </c>
      <c r="CE15" s="49">
        <v>0.78</v>
      </c>
      <c r="CF15" s="49">
        <v>1.62</v>
      </c>
      <c r="CG15" s="49">
        <v>0.85</v>
      </c>
      <c r="CH15" s="49">
        <v>1.78</v>
      </c>
      <c r="CI15" s="49">
        <v>2.89</v>
      </c>
      <c r="CJ15" s="49">
        <v>15.57</v>
      </c>
      <c r="CK15" s="49">
        <v>0.08</v>
      </c>
      <c r="CL15" s="49">
        <v>0</v>
      </c>
      <c r="CM15" s="49">
        <v>0</v>
      </c>
      <c r="CN15" s="50"/>
      <c r="CO15" s="49">
        <v>0</v>
      </c>
      <c r="CP15" s="66">
        <f t="shared" si="6"/>
        <v>25.076</v>
      </c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66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76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76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76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76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76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76">
        <f t="shared" si="13"/>
        <v>0</v>
      </c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76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76">
        <f t="shared" si="15"/>
        <v>0</v>
      </c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76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76"/>
    </row>
    <row r="16" spans="1:237" s="1" customFormat="1" ht="30" customHeight="1" thickBot="1">
      <c r="A16" s="99"/>
      <c r="B16" s="101"/>
      <c r="C16" s="18" t="s">
        <v>4</v>
      </c>
      <c r="D16" s="7">
        <v>55.27</v>
      </c>
      <c r="E16" s="7">
        <v>0.63</v>
      </c>
      <c r="F16" s="7">
        <v>23.8</v>
      </c>
      <c r="G16" s="7">
        <v>41.55</v>
      </c>
      <c r="H16" s="7">
        <v>42.14</v>
      </c>
      <c r="I16" s="7">
        <v>86.87</v>
      </c>
      <c r="J16" s="7">
        <v>67.78</v>
      </c>
      <c r="K16" s="7">
        <v>43.22</v>
      </c>
      <c r="L16" s="7">
        <v>50.99</v>
      </c>
      <c r="M16" s="7">
        <v>33.39</v>
      </c>
      <c r="N16" s="7"/>
      <c r="O16" s="7">
        <v>28.269</v>
      </c>
      <c r="P16" s="66">
        <f t="shared" si="0"/>
        <v>473.909</v>
      </c>
      <c r="Q16" s="12">
        <v>28.9</v>
      </c>
      <c r="R16" s="12">
        <v>28.79</v>
      </c>
      <c r="S16" s="12">
        <v>29.93</v>
      </c>
      <c r="T16" s="12">
        <v>31.23</v>
      </c>
      <c r="U16" s="12">
        <v>47.77</v>
      </c>
      <c r="V16" s="12">
        <v>40.58</v>
      </c>
      <c r="W16" s="12">
        <v>55.26</v>
      </c>
      <c r="X16" s="12">
        <v>53.1</v>
      </c>
      <c r="Y16" s="12">
        <v>55.91</v>
      </c>
      <c r="Z16" s="12">
        <v>39.56</v>
      </c>
      <c r="AA16" s="12">
        <v>29.69</v>
      </c>
      <c r="AB16" s="12">
        <v>33.99</v>
      </c>
      <c r="AC16" s="81">
        <f t="shared" si="1"/>
        <v>474.71000000000004</v>
      </c>
      <c r="AD16" s="24">
        <v>32.887</v>
      </c>
      <c r="AE16" s="24">
        <v>25.46</v>
      </c>
      <c r="AF16" s="24">
        <v>56.66</v>
      </c>
      <c r="AG16" s="24">
        <v>34.73</v>
      </c>
      <c r="AH16" s="24">
        <v>37.87</v>
      </c>
      <c r="AI16" s="24">
        <v>37.599</v>
      </c>
      <c r="AJ16" s="24">
        <v>51.17</v>
      </c>
      <c r="AK16" s="24">
        <v>34.96</v>
      </c>
      <c r="AL16" s="24">
        <v>39.58</v>
      </c>
      <c r="AM16" s="24">
        <v>21.37</v>
      </c>
      <c r="AN16" s="24">
        <v>26.25</v>
      </c>
      <c r="AO16" s="24">
        <v>30.13</v>
      </c>
      <c r="AP16" s="74">
        <f t="shared" si="2"/>
        <v>428.66599999999994</v>
      </c>
      <c r="AQ16" s="24">
        <v>29.087</v>
      </c>
      <c r="AR16" s="24">
        <v>27.43</v>
      </c>
      <c r="AS16" s="24">
        <v>31.69</v>
      </c>
      <c r="AT16" s="24">
        <v>45.6</v>
      </c>
      <c r="AU16" s="24">
        <v>57.49</v>
      </c>
      <c r="AV16" s="24">
        <v>54.86</v>
      </c>
      <c r="AW16" s="24">
        <v>66.2</v>
      </c>
      <c r="AX16" s="24">
        <v>98.06</v>
      </c>
      <c r="AY16" s="24">
        <v>78.201</v>
      </c>
      <c r="AZ16" s="24">
        <v>53.23</v>
      </c>
      <c r="BA16" s="24">
        <v>41.5</v>
      </c>
      <c r="BB16" s="24">
        <v>31.25</v>
      </c>
      <c r="BC16" s="74">
        <f t="shared" si="3"/>
        <v>614.598</v>
      </c>
      <c r="BD16" s="24">
        <v>18.46</v>
      </c>
      <c r="BE16" s="24">
        <v>21.11</v>
      </c>
      <c r="BF16" s="24">
        <v>20.119</v>
      </c>
      <c r="BG16" s="24">
        <v>29.54</v>
      </c>
      <c r="BH16" s="24">
        <v>46.28</v>
      </c>
      <c r="BI16" s="24">
        <v>36.67</v>
      </c>
      <c r="BJ16" s="24">
        <v>16.04</v>
      </c>
      <c r="BK16" s="24">
        <v>21.75</v>
      </c>
      <c r="BL16" s="24">
        <v>28.62</v>
      </c>
      <c r="BM16" s="24">
        <v>36.72</v>
      </c>
      <c r="BN16" s="24">
        <v>9</v>
      </c>
      <c r="BO16" s="24">
        <v>15.58</v>
      </c>
      <c r="BP16" s="74">
        <f t="shared" si="4"/>
        <v>299.889</v>
      </c>
      <c r="BQ16" s="24">
        <v>17.22</v>
      </c>
      <c r="BR16" s="24">
        <v>13.43</v>
      </c>
      <c r="BS16" s="24">
        <v>3.16</v>
      </c>
      <c r="BT16" s="24">
        <v>1.31</v>
      </c>
      <c r="BU16" s="24">
        <v>48.75</v>
      </c>
      <c r="BV16" s="24">
        <v>84.8</v>
      </c>
      <c r="BW16" s="24">
        <v>47.67</v>
      </c>
      <c r="BX16" s="24">
        <v>89.81</v>
      </c>
      <c r="BY16" s="24">
        <v>15.26</v>
      </c>
      <c r="BZ16" s="24">
        <v>97.36</v>
      </c>
      <c r="CA16" s="24">
        <v>57.8</v>
      </c>
      <c r="CB16" s="24">
        <v>95.54</v>
      </c>
      <c r="CC16" s="74">
        <f t="shared" si="5"/>
        <v>572.11</v>
      </c>
      <c r="CD16" s="48">
        <v>95.54</v>
      </c>
      <c r="CE16" s="49">
        <v>28.73</v>
      </c>
      <c r="CF16" s="49">
        <v>32.61</v>
      </c>
      <c r="CG16" s="49">
        <v>12.42</v>
      </c>
      <c r="CH16" s="49">
        <v>10.71</v>
      </c>
      <c r="CI16" s="49">
        <v>30.81</v>
      </c>
      <c r="CJ16" s="49">
        <v>10.71</v>
      </c>
      <c r="CK16" s="49">
        <v>115.9</v>
      </c>
      <c r="CL16" s="49">
        <v>151.49</v>
      </c>
      <c r="CM16" s="49">
        <v>116.89</v>
      </c>
      <c r="CN16" s="50"/>
      <c r="CO16" s="49">
        <v>252</v>
      </c>
      <c r="CP16" s="74">
        <f t="shared" si="6"/>
        <v>857.8100000000001</v>
      </c>
      <c r="CQ16" s="24">
        <v>64.1</v>
      </c>
      <c r="CR16" s="24">
        <v>46.03</v>
      </c>
      <c r="CS16" s="24">
        <v>74.2</v>
      </c>
      <c r="CT16" s="24">
        <v>78.6</v>
      </c>
      <c r="CU16" s="24">
        <v>223.24</v>
      </c>
      <c r="CV16" s="24">
        <v>114.04</v>
      </c>
      <c r="CW16" s="24">
        <v>82.04</v>
      </c>
      <c r="CX16" s="24">
        <v>64.84</v>
      </c>
      <c r="CY16" s="24">
        <v>90.9</v>
      </c>
      <c r="CZ16" s="24">
        <v>90.99</v>
      </c>
      <c r="DA16" s="24">
        <v>64.56</v>
      </c>
      <c r="DB16" s="24">
        <v>146.88</v>
      </c>
      <c r="DC16" s="74">
        <f t="shared" si="7"/>
        <v>1140.42</v>
      </c>
      <c r="DD16" s="24">
        <v>179.41</v>
      </c>
      <c r="DE16" s="24">
        <v>55.01</v>
      </c>
      <c r="DF16" s="24">
        <v>105.32</v>
      </c>
      <c r="DG16" s="24">
        <v>97.27</v>
      </c>
      <c r="DH16" s="24">
        <v>105.47</v>
      </c>
      <c r="DI16" s="24">
        <v>164.43</v>
      </c>
      <c r="DJ16" s="24">
        <v>163.72</v>
      </c>
      <c r="DK16" s="24">
        <v>149.59</v>
      </c>
      <c r="DL16" s="24">
        <v>124.56</v>
      </c>
      <c r="DM16" s="24">
        <v>135.32</v>
      </c>
      <c r="DN16" s="24">
        <v>110.71</v>
      </c>
      <c r="DO16" s="24">
        <v>124.45</v>
      </c>
      <c r="DP16" s="74">
        <f t="shared" si="8"/>
        <v>1515.2600000000002</v>
      </c>
      <c r="DQ16" s="24">
        <v>128.07</v>
      </c>
      <c r="DR16" s="24">
        <v>113.86</v>
      </c>
      <c r="DS16" s="24">
        <v>168.36</v>
      </c>
      <c r="DT16" s="24">
        <v>133.61</v>
      </c>
      <c r="DU16" s="24">
        <v>126.76</v>
      </c>
      <c r="DV16" s="24">
        <v>123.87</v>
      </c>
      <c r="DW16" s="24">
        <v>170.47</v>
      </c>
      <c r="DX16" s="24">
        <v>250.35</v>
      </c>
      <c r="DY16" s="24">
        <v>480.13</v>
      </c>
      <c r="DZ16" s="24">
        <v>175.93</v>
      </c>
      <c r="EA16" s="24">
        <v>190.02</v>
      </c>
      <c r="EB16" s="24">
        <v>157.57</v>
      </c>
      <c r="EC16" s="74">
        <f t="shared" si="9"/>
        <v>2219.0000000000005</v>
      </c>
      <c r="ED16" s="24">
        <v>182.17</v>
      </c>
      <c r="EE16" s="24">
        <v>123.25</v>
      </c>
      <c r="EF16" s="24">
        <v>136.41</v>
      </c>
      <c r="EG16" s="24">
        <v>175.56</v>
      </c>
      <c r="EH16" s="24">
        <v>208.29</v>
      </c>
      <c r="EI16" s="24">
        <v>169.09</v>
      </c>
      <c r="EJ16" s="24">
        <v>262.1</v>
      </c>
      <c r="EK16" s="24">
        <v>158.11</v>
      </c>
      <c r="EL16" s="24">
        <v>209.94</v>
      </c>
      <c r="EM16" s="24">
        <v>154.27</v>
      </c>
      <c r="EN16" s="24">
        <v>179.18</v>
      </c>
      <c r="EO16" s="24">
        <v>166.47</v>
      </c>
      <c r="EP16" s="74">
        <f t="shared" si="10"/>
        <v>2124.84</v>
      </c>
      <c r="EQ16" s="24">
        <v>119.21</v>
      </c>
      <c r="ER16" s="24">
        <v>201.04</v>
      </c>
      <c r="ES16" s="24">
        <v>209.23</v>
      </c>
      <c r="ET16" s="24">
        <v>203.88</v>
      </c>
      <c r="EU16" s="24">
        <v>158.44</v>
      </c>
      <c r="EV16" s="24">
        <v>154.93</v>
      </c>
      <c r="EW16" s="24">
        <v>185.53</v>
      </c>
      <c r="EX16" s="24">
        <v>212.74</v>
      </c>
      <c r="EY16" s="24">
        <v>170.56</v>
      </c>
      <c r="EZ16" s="24">
        <v>259.93</v>
      </c>
      <c r="FA16" s="24">
        <v>188.15</v>
      </c>
      <c r="FB16" s="24">
        <v>212.96</v>
      </c>
      <c r="FC16" s="74">
        <f t="shared" si="11"/>
        <v>2276.6</v>
      </c>
      <c r="FD16" s="24">
        <v>201.32</v>
      </c>
      <c r="FE16" s="24">
        <v>201.41</v>
      </c>
      <c r="FF16" s="24">
        <v>174.29</v>
      </c>
      <c r="FG16" s="24">
        <v>212.35</v>
      </c>
      <c r="FH16" s="24">
        <v>191.98</v>
      </c>
      <c r="FI16" s="24">
        <v>204.44</v>
      </c>
      <c r="FJ16" s="24">
        <v>214.8</v>
      </c>
      <c r="FK16" s="24">
        <v>248.1</v>
      </c>
      <c r="FL16" s="24">
        <v>229.42</v>
      </c>
      <c r="FM16" s="24">
        <v>349.1</v>
      </c>
      <c r="FN16" s="24">
        <v>193.41</v>
      </c>
      <c r="FO16" s="24">
        <v>247.91</v>
      </c>
      <c r="FP16" s="74">
        <f t="shared" si="12"/>
        <v>2668.5299999999997</v>
      </c>
      <c r="FQ16" s="24">
        <v>205.94</v>
      </c>
      <c r="FR16" s="24">
        <v>223.35</v>
      </c>
      <c r="FS16" s="24">
        <v>278.14</v>
      </c>
      <c r="FT16" s="24">
        <v>310.21</v>
      </c>
      <c r="FU16" s="24">
        <v>261.89</v>
      </c>
      <c r="FV16" s="24">
        <v>320.84</v>
      </c>
      <c r="FW16" s="24">
        <v>239.85</v>
      </c>
      <c r="FX16" s="24">
        <v>412.36</v>
      </c>
      <c r="FY16" s="24">
        <v>324.98</v>
      </c>
      <c r="FZ16" s="24">
        <v>294.65</v>
      </c>
      <c r="GA16" s="24">
        <v>242.24</v>
      </c>
      <c r="GB16" s="24">
        <v>247.51</v>
      </c>
      <c r="GC16" s="74">
        <f t="shared" si="13"/>
        <v>3361.96</v>
      </c>
      <c r="GD16" s="24">
        <v>179.82</v>
      </c>
      <c r="GE16" s="24">
        <v>287.88</v>
      </c>
      <c r="GF16" s="24">
        <v>292.12</v>
      </c>
      <c r="GG16" s="24">
        <v>249.58</v>
      </c>
      <c r="GH16" s="24">
        <v>282.45</v>
      </c>
      <c r="GI16" s="24">
        <v>255.37</v>
      </c>
      <c r="GJ16" s="24">
        <v>286.93</v>
      </c>
      <c r="GK16" s="24">
        <v>307.77</v>
      </c>
      <c r="GL16" s="24">
        <v>310.04</v>
      </c>
      <c r="GM16" s="24">
        <v>245.24</v>
      </c>
      <c r="GN16" s="24">
        <v>254.24</v>
      </c>
      <c r="GO16" s="24">
        <v>257.2</v>
      </c>
      <c r="GP16" s="74">
        <f t="shared" si="14"/>
        <v>3208.6399999999994</v>
      </c>
      <c r="GQ16" s="24">
        <v>230.57</v>
      </c>
      <c r="GR16" s="24">
        <v>238.71</v>
      </c>
      <c r="GS16" s="24">
        <v>284.35</v>
      </c>
      <c r="GT16" s="24">
        <v>201.02</v>
      </c>
      <c r="GU16" s="24">
        <v>214.83</v>
      </c>
      <c r="GV16" s="24">
        <v>214.48</v>
      </c>
      <c r="GW16" s="24">
        <v>257.25</v>
      </c>
      <c r="GX16" s="24">
        <v>266.15</v>
      </c>
      <c r="GY16" s="24">
        <v>252.85</v>
      </c>
      <c r="GZ16" s="24">
        <v>240.92</v>
      </c>
      <c r="HA16" s="24">
        <v>195.24</v>
      </c>
      <c r="HB16" s="24">
        <v>217.15</v>
      </c>
      <c r="HC16" s="74">
        <f t="shared" si="15"/>
        <v>2813.52</v>
      </c>
      <c r="HD16" s="24">
        <v>195.63</v>
      </c>
      <c r="HE16" s="24">
        <v>195.37</v>
      </c>
      <c r="HF16" s="24">
        <v>222.59</v>
      </c>
      <c r="HG16" s="24">
        <v>232.57</v>
      </c>
      <c r="HH16" s="24">
        <v>284.66</v>
      </c>
      <c r="HI16" s="24">
        <v>195.76</v>
      </c>
      <c r="HJ16" s="24">
        <v>291.88</v>
      </c>
      <c r="HK16" s="24">
        <v>219.17</v>
      </c>
      <c r="HL16" s="24">
        <v>219.97</v>
      </c>
      <c r="HM16" s="24">
        <v>260.3</v>
      </c>
      <c r="HN16" s="24">
        <v>214.01</v>
      </c>
      <c r="HO16" s="24">
        <v>232.06</v>
      </c>
      <c r="HP16" s="74">
        <f t="shared" si="16"/>
        <v>2763.97</v>
      </c>
      <c r="HQ16" s="24">
        <v>118.03</v>
      </c>
      <c r="HR16" s="24">
        <v>322.43</v>
      </c>
      <c r="HS16" s="24">
        <v>255.56</v>
      </c>
      <c r="HT16" s="24">
        <v>259.11</v>
      </c>
      <c r="HU16" s="24">
        <v>241.08</v>
      </c>
      <c r="HV16" s="24">
        <v>207.78</v>
      </c>
      <c r="HW16" s="24">
        <v>259.77</v>
      </c>
      <c r="HX16" s="24">
        <v>203.17</v>
      </c>
      <c r="HY16" s="24">
        <v>279.74</v>
      </c>
      <c r="HZ16" s="24">
        <v>259.31</v>
      </c>
      <c r="IA16" s="24">
        <v>173.41</v>
      </c>
      <c r="IB16" s="24">
        <v>126.45</v>
      </c>
      <c r="IC16" s="74">
        <f t="shared" si="17"/>
        <v>2705.8399999999997</v>
      </c>
    </row>
    <row r="17" spans="1:237" s="1" customFormat="1" ht="30" customHeight="1" thickBot="1">
      <c r="A17" s="99"/>
      <c r="B17" s="101"/>
      <c r="C17" s="8" t="s">
        <v>11</v>
      </c>
      <c r="D17" s="9">
        <f aca="true" t="shared" si="65" ref="D17:O17">SUM(D14:D16)</f>
        <v>1275.572</v>
      </c>
      <c r="E17" s="9">
        <f t="shared" si="65"/>
        <v>180.48</v>
      </c>
      <c r="F17" s="9">
        <f t="shared" si="65"/>
        <v>437.74600000000004</v>
      </c>
      <c r="G17" s="9">
        <f t="shared" si="65"/>
        <v>715.686</v>
      </c>
      <c r="H17" s="9">
        <f t="shared" si="65"/>
        <v>634.943</v>
      </c>
      <c r="I17" s="9">
        <f t="shared" si="65"/>
        <v>720.8539999999999</v>
      </c>
      <c r="J17" s="9">
        <f t="shared" si="65"/>
        <v>774.822</v>
      </c>
      <c r="K17" s="9">
        <f t="shared" si="65"/>
        <v>723.3530000000001</v>
      </c>
      <c r="L17" s="9">
        <f t="shared" si="65"/>
        <v>640.335</v>
      </c>
      <c r="M17" s="9">
        <f t="shared" si="65"/>
        <v>704.867</v>
      </c>
      <c r="N17" s="9">
        <v>491.441</v>
      </c>
      <c r="O17" s="9">
        <f t="shared" si="65"/>
        <v>613.957</v>
      </c>
      <c r="P17" s="67">
        <f t="shared" si="0"/>
        <v>7914.056</v>
      </c>
      <c r="Q17" s="31">
        <f aca="true" t="shared" si="66" ref="Q17:AB17">SUM(Q14:Q16)</f>
        <v>593.329</v>
      </c>
      <c r="R17" s="31">
        <f t="shared" si="66"/>
        <v>532.202</v>
      </c>
      <c r="S17" s="31">
        <f t="shared" si="66"/>
        <v>607.0179999999999</v>
      </c>
      <c r="T17" s="31">
        <f t="shared" si="66"/>
        <v>563.223</v>
      </c>
      <c r="U17" s="31">
        <f t="shared" si="66"/>
        <v>632.257</v>
      </c>
      <c r="V17" s="31">
        <f t="shared" si="66"/>
        <v>603.0070000000001</v>
      </c>
      <c r="W17" s="31">
        <f t="shared" si="66"/>
        <v>748.282</v>
      </c>
      <c r="X17" s="31">
        <f t="shared" si="66"/>
        <v>632.9449999999999</v>
      </c>
      <c r="Y17" s="31">
        <f t="shared" si="66"/>
        <v>643.342</v>
      </c>
      <c r="Z17" s="31">
        <f t="shared" si="66"/>
        <v>645.2460000000001</v>
      </c>
      <c r="AA17" s="31">
        <f t="shared" si="66"/>
        <v>497.037</v>
      </c>
      <c r="AB17" s="31">
        <f t="shared" si="66"/>
        <v>734.1569999999999</v>
      </c>
      <c r="AC17" s="82">
        <f t="shared" si="1"/>
        <v>7432.045</v>
      </c>
      <c r="AD17" s="43">
        <f aca="true" t="shared" si="67" ref="AD17:AN17">SUM(AD14:AD16)</f>
        <v>502.29699999999997</v>
      </c>
      <c r="AE17" s="43">
        <f t="shared" si="67"/>
        <v>441.47299999999996</v>
      </c>
      <c r="AF17" s="43">
        <f t="shared" si="67"/>
        <v>650.8240000000001</v>
      </c>
      <c r="AG17" s="43">
        <f t="shared" si="67"/>
        <v>651.9350000000001</v>
      </c>
      <c r="AH17" s="43">
        <f t="shared" si="67"/>
        <v>544.8729999999999</v>
      </c>
      <c r="AI17" s="43">
        <f t="shared" si="67"/>
        <v>611.062</v>
      </c>
      <c r="AJ17" s="43">
        <f t="shared" si="67"/>
        <v>663.2429999999999</v>
      </c>
      <c r="AK17" s="43">
        <f t="shared" si="67"/>
        <v>633.9870000000001</v>
      </c>
      <c r="AL17" s="43">
        <f t="shared" si="67"/>
        <v>671.006</v>
      </c>
      <c r="AM17" s="43">
        <f t="shared" si="67"/>
        <v>500.014</v>
      </c>
      <c r="AN17" s="43">
        <f t="shared" si="67"/>
        <v>573.062</v>
      </c>
      <c r="AO17" s="43">
        <v>578.011</v>
      </c>
      <c r="AP17" s="75">
        <f t="shared" si="2"/>
        <v>7021.787</v>
      </c>
      <c r="AQ17" s="43">
        <f aca="true" t="shared" si="68" ref="AQ17:BB17">SUM(AQ14:AQ16)</f>
        <v>453.413</v>
      </c>
      <c r="AR17" s="43">
        <f t="shared" si="68"/>
        <v>405.019</v>
      </c>
      <c r="AS17" s="43">
        <f t="shared" si="68"/>
        <v>553.6310000000001</v>
      </c>
      <c r="AT17" s="43">
        <f t="shared" si="68"/>
        <v>567.3480000000001</v>
      </c>
      <c r="AU17" s="43">
        <f t="shared" si="68"/>
        <v>579.074</v>
      </c>
      <c r="AV17" s="43">
        <f t="shared" si="68"/>
        <v>591.3919999999999</v>
      </c>
      <c r="AW17" s="43">
        <f t="shared" si="68"/>
        <v>657.844</v>
      </c>
      <c r="AX17" s="43">
        <f t="shared" si="68"/>
        <v>728.7059999999999</v>
      </c>
      <c r="AY17" s="43">
        <f t="shared" si="68"/>
        <v>668.119</v>
      </c>
      <c r="AZ17" s="43">
        <f t="shared" si="68"/>
        <v>512.808</v>
      </c>
      <c r="BA17" s="43">
        <f t="shared" si="68"/>
        <v>597.62</v>
      </c>
      <c r="BB17" s="43">
        <f t="shared" si="68"/>
        <v>517.801</v>
      </c>
      <c r="BC17" s="75">
        <f t="shared" si="3"/>
        <v>6832.775</v>
      </c>
      <c r="BD17" s="43">
        <f aca="true" t="shared" si="69" ref="BD17:BO17">SUM(BD14:BD16)</f>
        <v>426.597</v>
      </c>
      <c r="BE17" s="43">
        <f t="shared" si="69"/>
        <v>471.997</v>
      </c>
      <c r="BF17" s="43">
        <f t="shared" si="69"/>
        <v>549.5430000000001</v>
      </c>
      <c r="BG17" s="43">
        <f t="shared" si="69"/>
        <v>473.736</v>
      </c>
      <c r="BH17" s="43">
        <f t="shared" si="69"/>
        <v>615.624</v>
      </c>
      <c r="BI17" s="43">
        <f t="shared" si="69"/>
        <v>610.9809999999999</v>
      </c>
      <c r="BJ17" s="43">
        <f t="shared" si="69"/>
        <v>539.442</v>
      </c>
      <c r="BK17" s="43">
        <f t="shared" si="69"/>
        <v>670.8100000000001</v>
      </c>
      <c r="BL17" s="43">
        <f t="shared" si="69"/>
        <v>507.4</v>
      </c>
      <c r="BM17" s="43">
        <f t="shared" si="69"/>
        <v>501.49699999999996</v>
      </c>
      <c r="BN17" s="43">
        <f t="shared" si="69"/>
        <v>603.1129999999999</v>
      </c>
      <c r="BO17" s="43">
        <f t="shared" si="69"/>
        <v>606.313</v>
      </c>
      <c r="BP17" s="75">
        <f t="shared" si="4"/>
        <v>6577.053000000001</v>
      </c>
      <c r="BQ17" s="43">
        <f aca="true" t="shared" si="70" ref="BQ17:CB17">SUM(BQ14:BQ16)</f>
        <v>453.37299999999993</v>
      </c>
      <c r="BR17" s="43">
        <f t="shared" si="70"/>
        <v>454.42</v>
      </c>
      <c r="BS17" s="43">
        <f t="shared" si="70"/>
        <v>578.4399999999999</v>
      </c>
      <c r="BT17" s="43">
        <f t="shared" si="70"/>
        <v>564.3</v>
      </c>
      <c r="BU17" s="43">
        <f t="shared" si="70"/>
        <v>674.75</v>
      </c>
      <c r="BV17" s="43">
        <f t="shared" si="70"/>
        <v>653.02</v>
      </c>
      <c r="BW17" s="43">
        <f t="shared" si="70"/>
        <v>662.31</v>
      </c>
      <c r="BX17" s="43">
        <f t="shared" si="70"/>
        <v>761.48</v>
      </c>
      <c r="BY17" s="43">
        <f t="shared" si="70"/>
        <v>540.9</v>
      </c>
      <c r="BZ17" s="43">
        <f t="shared" si="70"/>
        <v>748.722</v>
      </c>
      <c r="CA17" s="43">
        <f t="shared" si="70"/>
        <v>722.2299999999999</v>
      </c>
      <c r="CB17" s="43">
        <f t="shared" si="70"/>
        <v>657.5959999999999</v>
      </c>
      <c r="CC17" s="75">
        <f t="shared" si="5"/>
        <v>7471.540999999997</v>
      </c>
      <c r="CD17" s="43">
        <f aca="true" t="shared" si="71" ref="CD17:CO17">SUM(CD14:CD16)</f>
        <v>657.5959999999999</v>
      </c>
      <c r="CE17" s="43">
        <f t="shared" si="71"/>
        <v>564.6</v>
      </c>
      <c r="CF17" s="43">
        <f t="shared" si="71"/>
        <v>628.0600000000001</v>
      </c>
      <c r="CG17" s="43">
        <f t="shared" si="71"/>
        <v>699.1899999999999</v>
      </c>
      <c r="CH17" s="43">
        <f t="shared" si="71"/>
        <v>741.85</v>
      </c>
      <c r="CI17" s="43">
        <f t="shared" si="71"/>
        <v>735.8</v>
      </c>
      <c r="CJ17" s="43">
        <f t="shared" si="71"/>
        <v>755.6400000000001</v>
      </c>
      <c r="CK17" s="43">
        <f t="shared" si="71"/>
        <v>844.8000000000001</v>
      </c>
      <c r="CL17" s="43">
        <f t="shared" si="71"/>
        <v>773.42</v>
      </c>
      <c r="CM17" s="43">
        <f t="shared" si="71"/>
        <v>830.02</v>
      </c>
      <c r="CN17" s="43">
        <f t="shared" si="71"/>
        <v>0</v>
      </c>
      <c r="CO17" s="43">
        <f t="shared" si="71"/>
        <v>895.44</v>
      </c>
      <c r="CP17" s="75">
        <f t="shared" si="6"/>
        <v>8126.416000000001</v>
      </c>
      <c r="CQ17" s="43">
        <f aca="true" t="shared" si="72" ref="CQ17:DB17">SUM(CQ14:CQ16)</f>
        <v>759.7</v>
      </c>
      <c r="CR17" s="43">
        <f t="shared" si="72"/>
        <v>638.31</v>
      </c>
      <c r="CS17" s="43">
        <f t="shared" si="72"/>
        <v>705.5200000000001</v>
      </c>
      <c r="CT17" s="43">
        <f t="shared" si="72"/>
        <v>1069.18</v>
      </c>
      <c r="CU17" s="43">
        <f t="shared" si="72"/>
        <v>777.38</v>
      </c>
      <c r="CV17" s="43">
        <f t="shared" si="72"/>
        <v>767.06</v>
      </c>
      <c r="CW17" s="43">
        <f t="shared" si="72"/>
        <v>936.4</v>
      </c>
      <c r="CX17" s="43">
        <f t="shared" si="72"/>
        <v>828.57</v>
      </c>
      <c r="CY17" s="43">
        <f t="shared" si="72"/>
        <v>842.55</v>
      </c>
      <c r="CZ17" s="43">
        <f t="shared" si="72"/>
        <v>891.33</v>
      </c>
      <c r="DA17" s="43">
        <f t="shared" si="72"/>
        <v>854.26</v>
      </c>
      <c r="DB17" s="43">
        <f t="shared" si="72"/>
        <v>1093.83</v>
      </c>
      <c r="DC17" s="75">
        <f t="shared" si="7"/>
        <v>10164.09</v>
      </c>
      <c r="DD17" s="43">
        <f aca="true" t="shared" si="73" ref="DD17:DO17">SUM(DD14:DD16)</f>
        <v>957.25</v>
      </c>
      <c r="DE17" s="43">
        <f t="shared" si="73"/>
        <v>757.02</v>
      </c>
      <c r="DF17" s="43">
        <f t="shared" si="73"/>
        <v>1032.81</v>
      </c>
      <c r="DG17" s="43">
        <f t="shared" si="73"/>
        <v>952.99</v>
      </c>
      <c r="DH17" s="43">
        <f t="shared" si="73"/>
        <v>1078.55</v>
      </c>
      <c r="DI17" s="43">
        <f t="shared" si="73"/>
        <v>1108.54</v>
      </c>
      <c r="DJ17" s="43">
        <f t="shared" si="73"/>
        <v>1049.61</v>
      </c>
      <c r="DK17" s="43">
        <f t="shared" si="73"/>
        <v>966.77</v>
      </c>
      <c r="DL17" s="43">
        <f t="shared" si="73"/>
        <v>957.6300000000001</v>
      </c>
      <c r="DM17" s="43">
        <f t="shared" si="73"/>
        <v>995.52</v>
      </c>
      <c r="DN17" s="43">
        <f t="shared" si="73"/>
        <v>965.64</v>
      </c>
      <c r="DO17" s="43">
        <f t="shared" si="73"/>
        <v>1002.2</v>
      </c>
      <c r="DP17" s="75">
        <f t="shared" si="8"/>
        <v>11824.529999999999</v>
      </c>
      <c r="DQ17" s="43">
        <f aca="true" t="shared" si="74" ref="DQ17:EB17">SUM(DQ14:DQ16)</f>
        <v>900.1299999999999</v>
      </c>
      <c r="DR17" s="43">
        <f t="shared" si="74"/>
        <v>900.23</v>
      </c>
      <c r="DS17" s="43">
        <f t="shared" si="74"/>
        <v>1053.81</v>
      </c>
      <c r="DT17" s="43">
        <f t="shared" si="74"/>
        <v>1020.08</v>
      </c>
      <c r="DU17" s="43">
        <f t="shared" si="74"/>
        <v>1098.42</v>
      </c>
      <c r="DV17" s="43">
        <f t="shared" si="74"/>
        <v>1167.4299999999998</v>
      </c>
      <c r="DW17" s="43">
        <f t="shared" si="74"/>
        <v>1206.17</v>
      </c>
      <c r="DX17" s="43">
        <f t="shared" si="74"/>
        <v>1302.8</v>
      </c>
      <c r="DY17" s="43">
        <f t="shared" si="74"/>
        <v>1756.8000000000002</v>
      </c>
      <c r="DZ17" s="43">
        <f t="shared" si="74"/>
        <v>1038.15</v>
      </c>
      <c r="EA17" s="43">
        <f t="shared" si="74"/>
        <v>1154.55</v>
      </c>
      <c r="EB17" s="43">
        <f t="shared" si="74"/>
        <v>1100.52</v>
      </c>
      <c r="EC17" s="75">
        <f t="shared" si="9"/>
        <v>13699.089999999998</v>
      </c>
      <c r="ED17" s="43">
        <f aca="true" t="shared" si="75" ref="ED17:EO17">SUM(ED14:ED16)</f>
        <v>1079.47</v>
      </c>
      <c r="EE17" s="43">
        <f t="shared" si="75"/>
        <v>1058.3</v>
      </c>
      <c r="EF17" s="43">
        <f t="shared" si="75"/>
        <v>1172.16</v>
      </c>
      <c r="EG17" s="43">
        <f t="shared" si="75"/>
        <v>1334.78</v>
      </c>
      <c r="EH17" s="43">
        <f t="shared" si="75"/>
        <v>1451.94</v>
      </c>
      <c r="EI17" s="43">
        <f t="shared" si="75"/>
        <v>1489.9499999999998</v>
      </c>
      <c r="EJ17" s="43">
        <f t="shared" si="75"/>
        <v>1865.7400000000002</v>
      </c>
      <c r="EK17" s="43">
        <f t="shared" si="75"/>
        <v>1096.81</v>
      </c>
      <c r="EL17" s="43">
        <f t="shared" si="75"/>
        <v>1711.75</v>
      </c>
      <c r="EM17" s="43">
        <f t="shared" si="75"/>
        <v>1662.85</v>
      </c>
      <c r="EN17" s="43">
        <f t="shared" si="75"/>
        <v>1208.01</v>
      </c>
      <c r="EO17" s="43">
        <f t="shared" si="75"/>
        <v>1101.04</v>
      </c>
      <c r="EP17" s="75">
        <f t="shared" si="10"/>
        <v>16232.8</v>
      </c>
      <c r="EQ17" s="43">
        <f aca="true" t="shared" si="76" ref="EQ17:FB17">SUM(EQ14:EQ16)</f>
        <v>884.02</v>
      </c>
      <c r="ER17" s="43">
        <f t="shared" si="76"/>
        <v>1146.65</v>
      </c>
      <c r="ES17" s="43">
        <f t="shared" si="76"/>
        <v>1000.61</v>
      </c>
      <c r="ET17" s="43">
        <f t="shared" si="76"/>
        <v>842.41</v>
      </c>
      <c r="EU17" s="43">
        <f t="shared" si="76"/>
        <v>1070.44</v>
      </c>
      <c r="EV17" s="43">
        <f t="shared" si="76"/>
        <v>949.81</v>
      </c>
      <c r="EW17" s="43">
        <f t="shared" si="76"/>
        <v>1212.3</v>
      </c>
      <c r="EX17" s="43">
        <f t="shared" si="76"/>
        <v>1301.49</v>
      </c>
      <c r="EY17" s="43">
        <f t="shared" si="76"/>
        <v>863.97</v>
      </c>
      <c r="EZ17" s="43">
        <f t="shared" si="76"/>
        <v>1424.04</v>
      </c>
      <c r="FA17" s="43">
        <f t="shared" si="76"/>
        <v>804.87</v>
      </c>
      <c r="FB17" s="43">
        <f t="shared" si="76"/>
        <v>947.72</v>
      </c>
      <c r="FC17" s="75">
        <f t="shared" si="11"/>
        <v>12448.330000000002</v>
      </c>
      <c r="FD17" s="43">
        <f aca="true" t="shared" si="77" ref="FD17:FO17">SUM(FD14:FD16)</f>
        <v>992.44</v>
      </c>
      <c r="FE17" s="43">
        <f t="shared" si="77"/>
        <v>1030.24</v>
      </c>
      <c r="FF17" s="43">
        <f t="shared" si="77"/>
        <v>731.54</v>
      </c>
      <c r="FG17" s="43">
        <f t="shared" si="77"/>
        <v>957.4</v>
      </c>
      <c r="FH17" s="43">
        <f t="shared" si="77"/>
        <v>1135.95</v>
      </c>
      <c r="FI17" s="43">
        <f t="shared" si="77"/>
        <v>687.3299999999999</v>
      </c>
      <c r="FJ17" s="43">
        <f t="shared" si="77"/>
        <v>944.25</v>
      </c>
      <c r="FK17" s="43">
        <f t="shared" si="77"/>
        <v>1292.1</v>
      </c>
      <c r="FL17" s="43">
        <f t="shared" si="77"/>
        <v>1191.1200000000001</v>
      </c>
      <c r="FM17" s="43">
        <f t="shared" si="77"/>
        <v>1214.04</v>
      </c>
      <c r="FN17" s="43">
        <f t="shared" si="77"/>
        <v>840.38</v>
      </c>
      <c r="FO17" s="43">
        <f t="shared" si="77"/>
        <v>1361.22</v>
      </c>
      <c r="FP17" s="75">
        <f t="shared" si="12"/>
        <v>12378.009999999998</v>
      </c>
      <c r="FQ17" s="43">
        <f aca="true" t="shared" si="78" ref="FQ17:GB17">SUM(FQ14:FQ16)</f>
        <v>513.72</v>
      </c>
      <c r="FR17" s="43">
        <f t="shared" si="78"/>
        <v>477.98</v>
      </c>
      <c r="FS17" s="43">
        <f t="shared" si="78"/>
        <v>699.87</v>
      </c>
      <c r="FT17" s="43">
        <f t="shared" si="78"/>
        <v>799.19</v>
      </c>
      <c r="FU17" s="43">
        <f t="shared" si="78"/>
        <v>713.4300000000001</v>
      </c>
      <c r="FV17" s="43">
        <f t="shared" si="78"/>
        <v>809.64</v>
      </c>
      <c r="FW17" s="43">
        <f t="shared" si="78"/>
        <v>873.75</v>
      </c>
      <c r="FX17" s="43">
        <f t="shared" si="78"/>
        <v>1019.36</v>
      </c>
      <c r="FY17" s="43">
        <f t="shared" si="78"/>
        <v>1102.53</v>
      </c>
      <c r="FZ17" s="43">
        <f t="shared" si="78"/>
        <v>827.09</v>
      </c>
      <c r="GA17" s="43">
        <f t="shared" si="78"/>
        <v>634.03</v>
      </c>
      <c r="GB17" s="43">
        <f t="shared" si="78"/>
        <v>941.23</v>
      </c>
      <c r="GC17" s="75">
        <f t="shared" si="13"/>
        <v>9411.82</v>
      </c>
      <c r="GD17" s="43">
        <f aca="true" t="shared" si="79" ref="GD17:GO17">SUM(GD14:GD16)</f>
        <v>517.38</v>
      </c>
      <c r="GE17" s="43">
        <f t="shared" si="79"/>
        <v>615.13</v>
      </c>
      <c r="GF17" s="43">
        <f t="shared" si="79"/>
        <v>746.47</v>
      </c>
      <c r="GG17" s="43">
        <f t="shared" si="79"/>
        <v>661.5</v>
      </c>
      <c r="GH17" s="43">
        <f t="shared" si="79"/>
        <v>710.6700000000001</v>
      </c>
      <c r="GI17" s="43">
        <f t="shared" si="79"/>
        <v>721.3</v>
      </c>
      <c r="GJ17" s="43">
        <f t="shared" si="79"/>
        <v>757.4200000000001</v>
      </c>
      <c r="GK17" s="43">
        <f t="shared" si="79"/>
        <v>905.37</v>
      </c>
      <c r="GL17" s="43">
        <f t="shared" si="79"/>
        <v>938.71</v>
      </c>
      <c r="GM17" s="43">
        <f t="shared" si="79"/>
        <v>702.49</v>
      </c>
      <c r="GN17" s="43">
        <f t="shared" si="79"/>
        <v>722.05</v>
      </c>
      <c r="GO17" s="43">
        <f t="shared" si="79"/>
        <v>699.97</v>
      </c>
      <c r="GP17" s="75">
        <f t="shared" si="14"/>
        <v>8698.46</v>
      </c>
      <c r="GQ17" s="43">
        <f aca="true" t="shared" si="80" ref="GQ17:HB17">SUM(GQ14:GQ16)</f>
        <v>560.54</v>
      </c>
      <c r="GR17" s="43">
        <f t="shared" si="80"/>
        <v>610.71</v>
      </c>
      <c r="GS17" s="43">
        <f t="shared" si="80"/>
        <v>846.86</v>
      </c>
      <c r="GT17" s="43">
        <f t="shared" si="80"/>
        <v>370.55</v>
      </c>
      <c r="GU17" s="43">
        <f t="shared" si="80"/>
        <v>537.41</v>
      </c>
      <c r="GV17" s="43">
        <f t="shared" si="80"/>
        <v>505.53</v>
      </c>
      <c r="GW17" s="43">
        <f t="shared" si="80"/>
        <v>658.53</v>
      </c>
      <c r="GX17" s="43">
        <f t="shared" si="80"/>
        <v>710.68</v>
      </c>
      <c r="GY17" s="43">
        <f t="shared" si="80"/>
        <v>628.46</v>
      </c>
      <c r="GZ17" s="43">
        <f t="shared" si="80"/>
        <v>571.29</v>
      </c>
      <c r="HA17" s="43">
        <f t="shared" si="80"/>
        <v>485.36</v>
      </c>
      <c r="HB17" s="43">
        <f t="shared" si="80"/>
        <v>501.28999999999996</v>
      </c>
      <c r="HC17" s="75">
        <f t="shared" si="15"/>
        <v>6987.21</v>
      </c>
      <c r="HD17" s="43">
        <f aca="true" t="shared" si="81" ref="HD17:HO17">SUM(HD14:HD16)</f>
        <v>438.94</v>
      </c>
      <c r="HE17" s="43">
        <f t="shared" si="81"/>
        <v>450.51</v>
      </c>
      <c r="HF17" s="43">
        <f t="shared" si="81"/>
        <v>534.11</v>
      </c>
      <c r="HG17" s="43">
        <f t="shared" si="81"/>
        <v>544.5799999999999</v>
      </c>
      <c r="HH17" s="43">
        <f t="shared" si="81"/>
        <v>616.48</v>
      </c>
      <c r="HI17" s="43">
        <f t="shared" si="81"/>
        <v>507.8</v>
      </c>
      <c r="HJ17" s="43">
        <f t="shared" si="81"/>
        <v>678.5799999999999</v>
      </c>
      <c r="HK17" s="43">
        <f t="shared" si="81"/>
        <v>612.96</v>
      </c>
      <c r="HL17" s="43">
        <f t="shared" si="81"/>
        <v>606.11</v>
      </c>
      <c r="HM17" s="43">
        <f t="shared" si="81"/>
        <v>591.63</v>
      </c>
      <c r="HN17" s="43">
        <f t="shared" si="81"/>
        <v>564.39</v>
      </c>
      <c r="HO17" s="43">
        <f t="shared" si="81"/>
        <v>548.27</v>
      </c>
      <c r="HP17" s="75">
        <f t="shared" si="16"/>
        <v>6694.360000000001</v>
      </c>
      <c r="HQ17" s="43">
        <f aca="true" t="shared" si="82" ref="HQ17:IB17">SUM(HQ14:HQ16)</f>
        <v>492.90999999999997</v>
      </c>
      <c r="HR17" s="43">
        <f t="shared" si="82"/>
        <v>638.86</v>
      </c>
      <c r="HS17" s="43">
        <f t="shared" si="82"/>
        <v>584.44</v>
      </c>
      <c r="HT17" s="43">
        <f t="shared" si="82"/>
        <v>741.04</v>
      </c>
      <c r="HU17" s="43">
        <f t="shared" si="82"/>
        <v>792.11</v>
      </c>
      <c r="HV17" s="43">
        <f t="shared" si="82"/>
        <v>580.57</v>
      </c>
      <c r="HW17" s="43">
        <f t="shared" si="82"/>
        <v>610.02</v>
      </c>
      <c r="HX17" s="43">
        <f t="shared" si="82"/>
        <v>514.4</v>
      </c>
      <c r="HY17" s="43">
        <f t="shared" si="82"/>
        <v>932.12</v>
      </c>
      <c r="HZ17" s="43">
        <f t="shared" si="82"/>
        <v>583.79</v>
      </c>
      <c r="IA17" s="43">
        <f t="shared" si="82"/>
        <v>379.52</v>
      </c>
      <c r="IB17" s="43">
        <f t="shared" si="82"/>
        <v>418.15</v>
      </c>
      <c r="IC17" s="75">
        <f t="shared" si="17"/>
        <v>7267.93</v>
      </c>
    </row>
    <row r="18" spans="1:237" s="1" customFormat="1" ht="30" customHeight="1">
      <c r="A18" s="99"/>
      <c r="B18" s="100" t="s">
        <v>9</v>
      </c>
      <c r="C18" s="17" t="s">
        <v>15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8">
        <f t="shared" si="0"/>
        <v>0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83">
        <f t="shared" si="1"/>
        <v>0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77">
        <f t="shared" si="2"/>
        <v>0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77">
        <f t="shared" si="3"/>
        <v>0</v>
      </c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77">
        <f t="shared" si="4"/>
        <v>0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77">
        <f t="shared" si="5"/>
        <v>0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77">
        <f t="shared" si="6"/>
        <v>0</v>
      </c>
      <c r="CQ18" s="25">
        <v>31.17</v>
      </c>
      <c r="CR18" s="25">
        <v>26.85</v>
      </c>
      <c r="CS18" s="25">
        <v>28.93</v>
      </c>
      <c r="CT18" s="25">
        <v>45.4</v>
      </c>
      <c r="CU18" s="25">
        <v>25.23</v>
      </c>
      <c r="CV18" s="25">
        <v>33.2</v>
      </c>
      <c r="CW18" s="25">
        <v>41.96</v>
      </c>
      <c r="CX18" s="25">
        <v>38.32</v>
      </c>
      <c r="CY18" s="25">
        <v>37.49</v>
      </c>
      <c r="CZ18" s="25">
        <v>40.16</v>
      </c>
      <c r="DA18" s="25">
        <v>39.17</v>
      </c>
      <c r="DB18" s="25">
        <v>47.24</v>
      </c>
      <c r="DC18" s="77">
        <f t="shared" si="7"/>
        <v>435.12000000000006</v>
      </c>
      <c r="DD18" s="25">
        <v>37.87</v>
      </c>
      <c r="DE18" s="25">
        <v>35.28</v>
      </c>
      <c r="DF18" s="25">
        <v>46.19</v>
      </c>
      <c r="DG18" s="25">
        <v>42.7</v>
      </c>
      <c r="DH18" s="25">
        <v>47.65</v>
      </c>
      <c r="DI18" s="25">
        <v>46.98</v>
      </c>
      <c r="DJ18" s="25">
        <v>44.19</v>
      </c>
      <c r="DK18" s="25">
        <v>39.93</v>
      </c>
      <c r="DL18" s="25">
        <v>42.75</v>
      </c>
      <c r="DM18" s="25">
        <v>43.82</v>
      </c>
      <c r="DN18" s="25">
        <v>42.85</v>
      </c>
      <c r="DO18" s="25">
        <v>44.75</v>
      </c>
      <c r="DP18" s="77">
        <f t="shared" si="8"/>
        <v>514.96</v>
      </c>
      <c r="DQ18" s="25">
        <v>39.38</v>
      </c>
      <c r="DR18" s="25">
        <v>38.98</v>
      </c>
      <c r="DS18" s="25">
        <v>45.01</v>
      </c>
      <c r="DT18" s="25">
        <v>44.2</v>
      </c>
      <c r="DU18" s="25">
        <v>49.65</v>
      </c>
      <c r="DV18" s="25">
        <v>53.95</v>
      </c>
      <c r="DW18" s="25">
        <v>51.59</v>
      </c>
      <c r="DX18" s="25">
        <v>52.75</v>
      </c>
      <c r="DY18" s="25">
        <v>64.21</v>
      </c>
      <c r="DZ18" s="25">
        <v>45.79</v>
      </c>
      <c r="EA18" s="25">
        <v>55.12</v>
      </c>
      <c r="EB18" s="25">
        <v>53.37</v>
      </c>
      <c r="EC18" s="77">
        <f t="shared" si="9"/>
        <v>594</v>
      </c>
      <c r="ED18" s="25">
        <v>51.02</v>
      </c>
      <c r="EE18" s="25">
        <v>53.14</v>
      </c>
      <c r="EF18" s="25">
        <v>59.08</v>
      </c>
      <c r="EG18" s="25">
        <v>66.07</v>
      </c>
      <c r="EH18" s="25">
        <v>69.86</v>
      </c>
      <c r="EI18" s="25">
        <v>75.6</v>
      </c>
      <c r="EJ18" s="25">
        <v>92.32</v>
      </c>
      <c r="EK18" s="25">
        <v>55.15</v>
      </c>
      <c r="EL18" s="25">
        <v>92.29</v>
      </c>
      <c r="EM18" s="25">
        <v>91.51</v>
      </c>
      <c r="EN18" s="25">
        <v>63.09</v>
      </c>
      <c r="EO18" s="25">
        <v>56.15</v>
      </c>
      <c r="EP18" s="77">
        <f t="shared" si="10"/>
        <v>825.28</v>
      </c>
      <c r="EQ18" s="25">
        <v>47.39</v>
      </c>
      <c r="ER18" s="25">
        <v>58.27</v>
      </c>
      <c r="ES18" s="25">
        <v>47.28</v>
      </c>
      <c r="ET18" s="25">
        <v>37.71</v>
      </c>
      <c r="EU18" s="25">
        <v>52.42</v>
      </c>
      <c r="EV18" s="25">
        <v>47.34</v>
      </c>
      <c r="EW18" s="25">
        <v>68.86</v>
      </c>
      <c r="EX18" s="25">
        <v>69.19</v>
      </c>
      <c r="EY18" s="25">
        <v>40.17</v>
      </c>
      <c r="EZ18" s="25">
        <v>75.67</v>
      </c>
      <c r="FA18" s="25">
        <v>36.87</v>
      </c>
      <c r="FB18" s="25">
        <v>43.5</v>
      </c>
      <c r="FC18" s="77">
        <f t="shared" si="11"/>
        <v>624.67</v>
      </c>
      <c r="FD18" s="25">
        <v>49.38</v>
      </c>
      <c r="FE18" s="25">
        <v>51.11</v>
      </c>
      <c r="FF18" s="25">
        <v>34.3</v>
      </c>
      <c r="FG18" s="25">
        <v>45.14</v>
      </c>
      <c r="FH18" s="25">
        <v>57.5</v>
      </c>
      <c r="FI18" s="25">
        <v>32.02</v>
      </c>
      <c r="FJ18" s="25">
        <v>42.91</v>
      </c>
      <c r="FK18" s="25">
        <v>60.51</v>
      </c>
      <c r="FL18" s="25">
        <v>58.49</v>
      </c>
      <c r="FM18" s="25">
        <v>54.83</v>
      </c>
      <c r="FN18" s="25">
        <v>40.36</v>
      </c>
      <c r="FO18" s="25">
        <v>72.1</v>
      </c>
      <c r="FP18" s="77">
        <f t="shared" si="12"/>
        <v>598.65</v>
      </c>
      <c r="FQ18" s="25">
        <v>22.49</v>
      </c>
      <c r="FR18" s="25">
        <v>17.6</v>
      </c>
      <c r="FS18" s="25">
        <v>30.62</v>
      </c>
      <c r="FT18" s="25">
        <v>34.34</v>
      </c>
      <c r="FU18" s="25">
        <v>30.52</v>
      </c>
      <c r="FV18" s="25">
        <v>34.24</v>
      </c>
      <c r="FW18" s="25">
        <v>46.61</v>
      </c>
      <c r="FX18" s="25">
        <v>43.34</v>
      </c>
      <c r="FY18" s="25">
        <v>47.87</v>
      </c>
      <c r="FZ18" s="25">
        <v>37.59</v>
      </c>
      <c r="GA18" s="25">
        <v>27.54</v>
      </c>
      <c r="GB18" s="25">
        <v>49.49</v>
      </c>
      <c r="GC18" s="77">
        <f t="shared" si="13"/>
        <v>422.25000000000006</v>
      </c>
      <c r="GD18" s="25">
        <v>23.46</v>
      </c>
      <c r="GE18" s="25">
        <v>22.52</v>
      </c>
      <c r="GF18" s="25">
        <v>31.6</v>
      </c>
      <c r="GG18" s="25">
        <v>30.1</v>
      </c>
      <c r="GH18" s="25">
        <v>30.77</v>
      </c>
      <c r="GI18" s="25">
        <v>32.32</v>
      </c>
      <c r="GJ18" s="25">
        <v>34.41</v>
      </c>
      <c r="GK18" s="25">
        <v>42.84</v>
      </c>
      <c r="GL18" s="25">
        <v>45.1</v>
      </c>
      <c r="GM18" s="25">
        <v>33.13</v>
      </c>
      <c r="GN18" s="25">
        <v>32.7</v>
      </c>
      <c r="GO18" s="25">
        <v>32.37</v>
      </c>
      <c r="GP18" s="77">
        <f t="shared" si="14"/>
        <v>391.32</v>
      </c>
      <c r="GQ18" s="25">
        <v>23.08</v>
      </c>
      <c r="GR18" s="25">
        <v>25.98</v>
      </c>
      <c r="GS18" s="25">
        <v>41.62</v>
      </c>
      <c r="GT18" s="25">
        <v>12.9</v>
      </c>
      <c r="GU18" s="25">
        <v>25.26</v>
      </c>
      <c r="GV18" s="25">
        <v>22.85</v>
      </c>
      <c r="GW18" s="25">
        <v>31.27</v>
      </c>
      <c r="GX18" s="25">
        <v>35.44</v>
      </c>
      <c r="GY18" s="25">
        <v>27.81</v>
      </c>
      <c r="GZ18" s="25">
        <v>26.64</v>
      </c>
      <c r="HA18" s="25">
        <v>22.49</v>
      </c>
      <c r="HB18" s="25">
        <v>21.35</v>
      </c>
      <c r="HC18" s="77">
        <f t="shared" si="15"/>
        <v>316.69000000000005</v>
      </c>
      <c r="HD18" s="25">
        <v>18.61</v>
      </c>
      <c r="HE18" s="25">
        <v>19.37</v>
      </c>
      <c r="HF18" s="25">
        <v>24.97</v>
      </c>
      <c r="HG18" s="25">
        <v>23.6</v>
      </c>
      <c r="HH18" s="25">
        <v>24.98</v>
      </c>
      <c r="HI18" s="25">
        <v>24.12</v>
      </c>
      <c r="HJ18" s="25">
        <v>27.85</v>
      </c>
      <c r="HK18" s="25">
        <v>29.36</v>
      </c>
      <c r="HL18" s="25">
        <v>31.04</v>
      </c>
      <c r="HM18" s="25">
        <v>24.59</v>
      </c>
      <c r="HN18" s="25">
        <v>25.94</v>
      </c>
      <c r="HO18" s="25">
        <v>23.03</v>
      </c>
      <c r="HP18" s="77">
        <f t="shared" si="16"/>
        <v>297.46000000000004</v>
      </c>
      <c r="HQ18" s="25">
        <v>26.76</v>
      </c>
      <c r="HR18" s="25">
        <v>23.33</v>
      </c>
      <c r="HS18" s="25">
        <v>23.9</v>
      </c>
      <c r="HT18" s="25">
        <v>32.84</v>
      </c>
      <c r="HU18" s="25">
        <v>38.37</v>
      </c>
      <c r="HV18" s="25">
        <v>26.02</v>
      </c>
      <c r="HW18" s="25">
        <v>24.82</v>
      </c>
      <c r="HX18" s="25">
        <v>22.67</v>
      </c>
      <c r="HY18" s="25">
        <v>46.04</v>
      </c>
      <c r="HZ18" s="25">
        <v>22.63</v>
      </c>
      <c r="IA18" s="25">
        <v>14.62</v>
      </c>
      <c r="IB18" s="25">
        <v>20.27</v>
      </c>
      <c r="IC18" s="77">
        <f t="shared" si="17"/>
        <v>322.27000000000004</v>
      </c>
    </row>
    <row r="19" spans="1:237" s="1" customFormat="1" ht="30" customHeight="1">
      <c r="A19" s="99"/>
      <c r="B19" s="101"/>
      <c r="C19" s="20" t="s">
        <v>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69">
        <f t="shared" si="0"/>
        <v>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84">
        <f t="shared" si="1"/>
        <v>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78">
        <f t="shared" si="2"/>
        <v>0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78">
        <f t="shared" si="3"/>
        <v>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78">
        <f t="shared" si="4"/>
        <v>0</v>
      </c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78">
        <f t="shared" si="5"/>
        <v>0</v>
      </c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78">
        <f t="shared" si="6"/>
        <v>0</v>
      </c>
      <c r="CQ19" s="26">
        <v>1</v>
      </c>
      <c r="CR19" s="26">
        <v>0.65</v>
      </c>
      <c r="CS19" s="26">
        <v>1.16</v>
      </c>
      <c r="CT19" s="26">
        <v>1.14</v>
      </c>
      <c r="CU19" s="26">
        <v>3.11</v>
      </c>
      <c r="CV19" s="26">
        <v>1.68</v>
      </c>
      <c r="CW19" s="26">
        <v>1.35</v>
      </c>
      <c r="CX19" s="26">
        <v>1.03</v>
      </c>
      <c r="CY19" s="26">
        <v>1.47</v>
      </c>
      <c r="CZ19" s="26">
        <v>1.41</v>
      </c>
      <c r="DA19" s="26">
        <v>1.05</v>
      </c>
      <c r="DB19" s="26">
        <v>2.38</v>
      </c>
      <c r="DC19" s="78">
        <f t="shared" si="7"/>
        <v>17.43</v>
      </c>
      <c r="DD19" s="26">
        <v>2.66</v>
      </c>
      <c r="DE19" s="26">
        <v>1.06</v>
      </c>
      <c r="DF19" s="26">
        <v>2.33</v>
      </c>
      <c r="DG19" s="26">
        <v>1.88</v>
      </c>
      <c r="DH19" s="26">
        <v>1.87</v>
      </c>
      <c r="DI19" s="26">
        <v>2.68</v>
      </c>
      <c r="DJ19" s="26">
        <v>2.68</v>
      </c>
      <c r="DK19" s="26">
        <v>2.55</v>
      </c>
      <c r="DL19" s="26">
        <v>2.17</v>
      </c>
      <c r="DM19" s="26">
        <v>2.49</v>
      </c>
      <c r="DN19" s="26">
        <v>1.97</v>
      </c>
      <c r="DO19" s="26">
        <v>2.19</v>
      </c>
      <c r="DP19" s="78">
        <f t="shared" si="8"/>
        <v>26.530000000000005</v>
      </c>
      <c r="DQ19" s="26">
        <v>2.18</v>
      </c>
      <c r="DR19" s="26">
        <v>1.91</v>
      </c>
      <c r="DS19" s="26">
        <v>2.78</v>
      </c>
      <c r="DT19" s="26">
        <v>2.3</v>
      </c>
      <c r="DU19" s="26">
        <v>2.24</v>
      </c>
      <c r="DV19" s="26">
        <v>2.14</v>
      </c>
      <c r="DW19" s="26">
        <v>2.98</v>
      </c>
      <c r="DX19" s="26">
        <v>4.37</v>
      </c>
      <c r="DY19" s="26">
        <v>7.78</v>
      </c>
      <c r="DZ19" s="26">
        <v>3.55</v>
      </c>
      <c r="EA19" s="26">
        <v>4.08</v>
      </c>
      <c r="EB19" s="26">
        <v>3.21</v>
      </c>
      <c r="EC19" s="78">
        <f t="shared" si="9"/>
        <v>39.519999999999996</v>
      </c>
      <c r="ED19" s="26">
        <v>3.72</v>
      </c>
      <c r="EE19" s="26">
        <v>2.39</v>
      </c>
      <c r="EF19" s="26">
        <v>2.56</v>
      </c>
      <c r="EG19" s="26">
        <v>3.41</v>
      </c>
      <c r="EH19" s="26">
        <v>4.15</v>
      </c>
      <c r="EI19" s="26">
        <v>3.26</v>
      </c>
      <c r="EJ19" s="26">
        <v>4.96</v>
      </c>
      <c r="EK19" s="26">
        <v>3.55</v>
      </c>
      <c r="EL19" s="26">
        <v>4.42</v>
      </c>
      <c r="EM19" s="26">
        <v>2.97</v>
      </c>
      <c r="EN19" s="26">
        <v>3.6</v>
      </c>
      <c r="EO19" s="26">
        <v>3.47</v>
      </c>
      <c r="EP19" s="78">
        <f t="shared" si="10"/>
        <v>42.46</v>
      </c>
      <c r="EQ19" s="26">
        <v>2.51</v>
      </c>
      <c r="ER19" s="26">
        <v>4.13</v>
      </c>
      <c r="ES19" s="26">
        <v>4.17</v>
      </c>
      <c r="ET19" s="26">
        <v>3.94</v>
      </c>
      <c r="EU19" s="26">
        <v>2.98</v>
      </c>
      <c r="EV19" s="26">
        <v>2.88</v>
      </c>
      <c r="EW19" s="26">
        <v>3.36</v>
      </c>
      <c r="EX19" s="26">
        <v>4</v>
      </c>
      <c r="EY19" s="26">
        <v>3.64</v>
      </c>
      <c r="EZ19" s="26">
        <v>4.88</v>
      </c>
      <c r="FA19" s="26">
        <v>3.49</v>
      </c>
      <c r="FB19" s="26">
        <v>4.47</v>
      </c>
      <c r="FC19" s="78">
        <f t="shared" si="11"/>
        <v>44.449999999999996</v>
      </c>
      <c r="FD19" s="26">
        <v>3.87</v>
      </c>
      <c r="FE19" s="26">
        <v>4.05</v>
      </c>
      <c r="FF19" s="26">
        <v>3.11</v>
      </c>
      <c r="FG19" s="26">
        <v>3.78</v>
      </c>
      <c r="FH19" s="26">
        <v>3.45</v>
      </c>
      <c r="FI19" s="26">
        <v>3.93</v>
      </c>
      <c r="FJ19" s="26">
        <v>4.22</v>
      </c>
      <c r="FK19" s="26">
        <v>5.13</v>
      </c>
      <c r="FL19" s="26">
        <v>4.4</v>
      </c>
      <c r="FM19" s="26">
        <v>6.64</v>
      </c>
      <c r="FN19" s="26">
        <v>4.12</v>
      </c>
      <c r="FO19" s="26">
        <v>5.67</v>
      </c>
      <c r="FP19" s="78">
        <f t="shared" si="12"/>
        <v>52.37</v>
      </c>
      <c r="FQ19" s="26">
        <v>4.6</v>
      </c>
      <c r="FR19" s="26">
        <v>5</v>
      </c>
      <c r="FS19" s="26">
        <v>6.15</v>
      </c>
      <c r="FT19" s="26">
        <v>6.9</v>
      </c>
      <c r="FU19" s="26">
        <v>5.9</v>
      </c>
      <c r="FV19" s="26">
        <v>7.27</v>
      </c>
      <c r="FW19" s="26">
        <v>5.4</v>
      </c>
      <c r="FX19" s="26">
        <v>9.19</v>
      </c>
      <c r="FY19" s="26">
        <v>7.19</v>
      </c>
      <c r="FZ19" s="26">
        <v>6.63</v>
      </c>
      <c r="GA19" s="26">
        <v>5.46</v>
      </c>
      <c r="GB19" s="26">
        <v>5.47</v>
      </c>
      <c r="GC19" s="78">
        <f t="shared" si="13"/>
        <v>75.15999999999998</v>
      </c>
      <c r="GD19" s="26">
        <v>4.07</v>
      </c>
      <c r="GE19" s="26">
        <v>6.37</v>
      </c>
      <c r="GF19" s="26">
        <v>7.07</v>
      </c>
      <c r="GG19" s="26">
        <v>6.21</v>
      </c>
      <c r="GH19" s="26">
        <v>7</v>
      </c>
      <c r="GI19" s="26">
        <v>6.32</v>
      </c>
      <c r="GJ19" s="26">
        <v>7.24</v>
      </c>
      <c r="GK19" s="26">
        <v>7.64</v>
      </c>
      <c r="GL19" s="26">
        <v>7.74</v>
      </c>
      <c r="GM19" s="26">
        <v>6.09</v>
      </c>
      <c r="GN19" s="26">
        <v>6.34</v>
      </c>
      <c r="GO19" s="26">
        <v>6.39</v>
      </c>
      <c r="GP19" s="78">
        <f t="shared" si="14"/>
        <v>78.48000000000002</v>
      </c>
      <c r="GQ19" s="26">
        <v>5.6</v>
      </c>
      <c r="GR19" s="26">
        <v>5.89</v>
      </c>
      <c r="GS19" s="26">
        <v>7.08</v>
      </c>
      <c r="GT19" s="26">
        <v>5.29</v>
      </c>
      <c r="GU19" s="26">
        <v>5.67</v>
      </c>
      <c r="GV19" s="26">
        <v>5.69</v>
      </c>
      <c r="GW19" s="26">
        <v>6.83</v>
      </c>
      <c r="GX19" s="26">
        <v>7.04</v>
      </c>
      <c r="GY19" s="26">
        <v>6.69</v>
      </c>
      <c r="GZ19" s="26">
        <v>6.39</v>
      </c>
      <c r="HA19" s="26">
        <v>5.16</v>
      </c>
      <c r="HB19" s="26">
        <v>5.74</v>
      </c>
      <c r="HC19" s="78">
        <f t="shared" si="15"/>
        <v>73.07</v>
      </c>
      <c r="HD19" s="26">
        <v>5.42</v>
      </c>
      <c r="HE19" s="26">
        <v>5.14</v>
      </c>
      <c r="HF19" s="26">
        <v>5.83</v>
      </c>
      <c r="HG19" s="26">
        <v>5.88</v>
      </c>
      <c r="HH19" s="26">
        <v>7.38</v>
      </c>
      <c r="HI19" s="26">
        <v>5.12</v>
      </c>
      <c r="HJ19" s="26">
        <v>7.73</v>
      </c>
      <c r="HK19" s="26">
        <v>5.7</v>
      </c>
      <c r="HL19" s="26">
        <v>5.78</v>
      </c>
      <c r="HM19" s="26">
        <v>6.82</v>
      </c>
      <c r="HN19" s="26">
        <v>5.57</v>
      </c>
      <c r="HO19" s="26">
        <v>6.01</v>
      </c>
      <c r="HP19" s="78">
        <f t="shared" si="16"/>
        <v>72.38000000000001</v>
      </c>
      <c r="HQ19" s="26">
        <v>3.04</v>
      </c>
      <c r="HR19" s="26">
        <v>8.4</v>
      </c>
      <c r="HS19" s="26">
        <v>5.84</v>
      </c>
      <c r="HT19" s="26">
        <v>6.73</v>
      </c>
      <c r="HU19" s="26">
        <v>6.28</v>
      </c>
      <c r="HV19" s="26">
        <v>5.42</v>
      </c>
      <c r="HW19" s="26">
        <v>6.73</v>
      </c>
      <c r="HX19" s="26">
        <v>5.33</v>
      </c>
      <c r="HY19" s="26">
        <v>7.35</v>
      </c>
      <c r="HZ19" s="26">
        <v>6.76</v>
      </c>
      <c r="IA19" s="26">
        <v>4.58</v>
      </c>
      <c r="IB19" s="26">
        <v>3.32</v>
      </c>
      <c r="IC19" s="78">
        <f t="shared" si="17"/>
        <v>69.77999999999999</v>
      </c>
    </row>
    <row r="20" spans="1:237" s="1" customFormat="1" ht="30" customHeight="1">
      <c r="A20" s="99"/>
      <c r="B20" s="101"/>
      <c r="C20" s="20" t="s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69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84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78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78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78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78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78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78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78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78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78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78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78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78">
        <f t="shared" si="13"/>
        <v>0</v>
      </c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78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78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78">
        <f t="shared" si="16"/>
        <v>0</v>
      </c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78"/>
    </row>
    <row r="21" spans="1:237" s="1" customFormat="1" ht="30" customHeight="1">
      <c r="A21" s="99"/>
      <c r="B21" s="101"/>
      <c r="C21" s="20" t="s">
        <v>16</v>
      </c>
      <c r="D21" s="11">
        <f>1214695/1000000</f>
        <v>1.214695</v>
      </c>
      <c r="E21" s="11">
        <f>66/1000000</f>
        <v>6.6E-05</v>
      </c>
      <c r="F21" s="11">
        <f>33226/1000000</f>
        <v>0.033226</v>
      </c>
      <c r="G21" s="11">
        <f>147695/1000000</f>
        <v>0.147695</v>
      </c>
      <c r="H21" s="11">
        <f>317663/1000000</f>
        <v>0.317663</v>
      </c>
      <c r="I21" s="11">
        <f>140221/1000000</f>
        <v>0.140221</v>
      </c>
      <c r="J21" s="11">
        <f>344047/1000000</f>
        <v>0.344047</v>
      </c>
      <c r="K21" s="11">
        <f>349796/1000000</f>
        <v>0.349796</v>
      </c>
      <c r="L21" s="11">
        <f>286887.5/1000000</f>
        <v>0.2868875</v>
      </c>
      <c r="M21" s="11">
        <f>254929/1000000</f>
        <v>0.254929</v>
      </c>
      <c r="N21" s="11"/>
      <c r="O21" s="11">
        <f>355068/1000000</f>
        <v>0.355068</v>
      </c>
      <c r="P21" s="69">
        <f t="shared" si="0"/>
        <v>3.4442935</v>
      </c>
      <c r="Q21" s="35">
        <f>211078/1000000</f>
        <v>0.211078</v>
      </c>
      <c r="R21" s="35">
        <f>225818/1000000</f>
        <v>0.225818</v>
      </c>
      <c r="S21" s="35">
        <f>153227/1000000</f>
        <v>0.153227</v>
      </c>
      <c r="T21" s="35">
        <f>303572/1000000</f>
        <v>0.303572</v>
      </c>
      <c r="U21" s="35">
        <f>268367/1000000</f>
        <v>0.268367</v>
      </c>
      <c r="V21" s="35">
        <f>235684/1000000</f>
        <v>0.235684</v>
      </c>
      <c r="W21" s="35">
        <f>303940/1000000</f>
        <v>0.30394</v>
      </c>
      <c r="X21" s="35">
        <f>306486/1000000</f>
        <v>0.306486</v>
      </c>
      <c r="Y21" s="35">
        <f>397909/1000000</f>
        <v>0.397909</v>
      </c>
      <c r="Z21" s="35">
        <f>284117/1000000</f>
        <v>0.284117</v>
      </c>
      <c r="AA21" s="35">
        <f>340964/1000000</f>
        <v>0.340964</v>
      </c>
      <c r="AB21" s="35">
        <f>386501/1000000</f>
        <v>0.386501</v>
      </c>
      <c r="AC21" s="84">
        <f t="shared" si="1"/>
        <v>3.417663</v>
      </c>
      <c r="AD21" s="26">
        <f>484302/1000000</f>
        <v>0.484302</v>
      </c>
      <c r="AE21" s="26">
        <f>332052/1000000</f>
        <v>0.332052</v>
      </c>
      <c r="AF21" s="26">
        <f>344662/1000000</f>
        <v>0.344662</v>
      </c>
      <c r="AG21" s="26">
        <f>261347/1000000</f>
        <v>0.261347</v>
      </c>
      <c r="AH21" s="26">
        <f>518845/1000000</f>
        <v>0.518845</v>
      </c>
      <c r="AI21" s="26">
        <f>548257/1000000</f>
        <v>0.548257</v>
      </c>
      <c r="AJ21" s="26">
        <f>459031/1000000</f>
        <v>0.459031</v>
      </c>
      <c r="AK21" s="26">
        <f>755934/1000000</f>
        <v>0.755934</v>
      </c>
      <c r="AL21" s="26">
        <f>267359/1000000</f>
        <v>0.267359</v>
      </c>
      <c r="AM21" s="26">
        <f>185156/1000000</f>
        <v>0.185156</v>
      </c>
      <c r="AN21" s="26">
        <f>383722/1000000</f>
        <v>0.383722</v>
      </c>
      <c r="AO21" s="26">
        <f>774917/1000000</f>
        <v>0.774917</v>
      </c>
      <c r="AP21" s="78">
        <f t="shared" si="2"/>
        <v>5.315583999999999</v>
      </c>
      <c r="AQ21" s="26">
        <f>361761/1000000</f>
        <v>0.361761</v>
      </c>
      <c r="AR21" s="26">
        <f>429062/1000000</f>
        <v>0.429062</v>
      </c>
      <c r="AS21" s="26">
        <f>276301/1000000</f>
        <v>0.276301</v>
      </c>
      <c r="AT21" s="26">
        <f>636487/1000000</f>
        <v>0.636487</v>
      </c>
      <c r="AU21" s="26">
        <f>319649/1000000</f>
        <v>0.319649</v>
      </c>
      <c r="AV21" s="26">
        <f>233686/1000000</f>
        <v>0.233686</v>
      </c>
      <c r="AW21" s="26">
        <f>724031/1000000</f>
        <v>0.724031</v>
      </c>
      <c r="AX21" s="26">
        <f>487781/1000000</f>
        <v>0.487781</v>
      </c>
      <c r="AY21" s="26">
        <f>8508824/1000000</f>
        <v>8.508824</v>
      </c>
      <c r="AZ21" s="26">
        <f>318593/1000000</f>
        <v>0.318593</v>
      </c>
      <c r="BA21" s="26">
        <f>275881/1000000</f>
        <v>0.275881</v>
      </c>
      <c r="BB21" s="26">
        <f>830948/1000000</f>
        <v>0.830948</v>
      </c>
      <c r="BC21" s="78">
        <f t="shared" si="3"/>
        <v>13.403004000000001</v>
      </c>
      <c r="BD21" s="26">
        <f>419148/1000000</f>
        <v>0.419148</v>
      </c>
      <c r="BE21" s="26">
        <f>564518/1000000</f>
        <v>0.564518</v>
      </c>
      <c r="BF21" s="26">
        <f>638040/1000000</f>
        <v>0.63804</v>
      </c>
      <c r="BG21" s="26">
        <f>886337/1000000</f>
        <v>0.886337</v>
      </c>
      <c r="BH21" s="26">
        <f>629664/1000000</f>
        <v>0.629664</v>
      </c>
      <c r="BI21" s="26">
        <f>39972/1000000</f>
        <v>0.039972</v>
      </c>
      <c r="BJ21" s="26">
        <f>182021/1000000</f>
        <v>0.182021</v>
      </c>
      <c r="BK21" s="26">
        <f>258903/1000000</f>
        <v>0.258903</v>
      </c>
      <c r="BL21" s="26">
        <f>3532445/1000000</f>
        <v>3.532445</v>
      </c>
      <c r="BM21" s="26">
        <f>578048/1000000</f>
        <v>0.578048</v>
      </c>
      <c r="BN21" s="26">
        <f>597023/1000000</f>
        <v>0.597023</v>
      </c>
      <c r="BO21" s="26">
        <f>536559/1000000</f>
        <v>0.536559</v>
      </c>
      <c r="BP21" s="78">
        <f t="shared" si="4"/>
        <v>8.862678</v>
      </c>
      <c r="BQ21" s="26">
        <f>510233/1000000</f>
        <v>0.510233</v>
      </c>
      <c r="BR21" s="26">
        <f>724553/1000000</f>
        <v>0.724553</v>
      </c>
      <c r="BS21" s="26">
        <f>317676/1000000</f>
        <v>0.317676</v>
      </c>
      <c r="BT21" s="26">
        <f>564930/1000000</f>
        <v>0.56493</v>
      </c>
      <c r="BU21" s="26">
        <f>567509/1000000</f>
        <v>0.567509</v>
      </c>
      <c r="BV21" s="26">
        <f>345344/1000000</f>
        <v>0.345344</v>
      </c>
      <c r="BW21" s="26">
        <f>649678/1000000</f>
        <v>0.649678</v>
      </c>
      <c r="BX21" s="26">
        <f>608023/1000000</f>
        <v>0.608023</v>
      </c>
      <c r="BY21" s="26">
        <f>79722/1000000</f>
        <v>0.079722</v>
      </c>
      <c r="BZ21" s="26">
        <f>5504059/1000000</f>
        <v>5.504059</v>
      </c>
      <c r="CA21" s="26">
        <f>456828/1000000</f>
        <v>0.456828</v>
      </c>
      <c r="CB21" s="26">
        <f>415700/1000000</f>
        <v>0.4157</v>
      </c>
      <c r="CC21" s="78">
        <f t="shared" si="5"/>
        <v>10.744254999999999</v>
      </c>
      <c r="CD21" s="26">
        <f>415700/1000000</f>
        <v>0.4157</v>
      </c>
      <c r="CE21" s="26">
        <f>400279/1000000</f>
        <v>0.400279</v>
      </c>
      <c r="CF21" s="26">
        <f>294109/1000000</f>
        <v>0.294109</v>
      </c>
      <c r="CG21" s="26">
        <f>188180/1000000</f>
        <v>0.18818</v>
      </c>
      <c r="CH21" s="26">
        <f>654428/1000000</f>
        <v>0.654428</v>
      </c>
      <c r="CI21" s="26">
        <f>308023/1000000</f>
        <v>0.308023</v>
      </c>
      <c r="CJ21" s="26">
        <f>654428/1000000</f>
        <v>0.654428</v>
      </c>
      <c r="CK21" s="26">
        <f>644581/1000000</f>
        <v>0.644581</v>
      </c>
      <c r="CL21" s="26">
        <f>785230/1000000</f>
        <v>0.78523</v>
      </c>
      <c r="CM21" s="26">
        <f>499172/1000000</f>
        <v>0.499172</v>
      </c>
      <c r="CN21" s="53"/>
      <c r="CO21" s="26">
        <f>70298/1000000</f>
        <v>0.070298</v>
      </c>
      <c r="CP21" s="78">
        <f t="shared" si="6"/>
        <v>4.914428</v>
      </c>
      <c r="CQ21" s="26">
        <v>1.21</v>
      </c>
      <c r="CR21" s="26">
        <v>0.21</v>
      </c>
      <c r="CS21" s="26">
        <v>0.34</v>
      </c>
      <c r="CT21" s="26">
        <v>0.11</v>
      </c>
      <c r="CU21" s="26">
        <v>0.6</v>
      </c>
      <c r="CV21" s="26">
        <v>0.42</v>
      </c>
      <c r="CW21" s="26">
        <v>0.62</v>
      </c>
      <c r="CX21" s="26">
        <v>0.53</v>
      </c>
      <c r="CY21" s="26">
        <v>0.48</v>
      </c>
      <c r="CZ21" s="26">
        <v>0.63</v>
      </c>
      <c r="DA21" s="26">
        <v>0.59</v>
      </c>
      <c r="DB21" s="26">
        <v>0.68</v>
      </c>
      <c r="DC21" s="78">
        <f t="shared" si="7"/>
        <v>6.419999999999999</v>
      </c>
      <c r="DD21" s="26">
        <v>0.4</v>
      </c>
      <c r="DE21" s="26">
        <v>0.42</v>
      </c>
      <c r="DF21" s="26">
        <v>0.57</v>
      </c>
      <c r="DG21" s="26">
        <v>0.72</v>
      </c>
      <c r="DH21" s="26">
        <v>0.56</v>
      </c>
      <c r="DI21" s="26">
        <v>1.17</v>
      </c>
      <c r="DJ21" s="26">
        <v>0.9</v>
      </c>
      <c r="DK21" s="26">
        <v>0.96</v>
      </c>
      <c r="DL21" s="26">
        <v>0.39</v>
      </c>
      <c r="DM21" s="26">
        <v>0.45</v>
      </c>
      <c r="DN21" s="26">
        <v>0.56</v>
      </c>
      <c r="DO21" s="26">
        <v>0.79</v>
      </c>
      <c r="DP21" s="78">
        <f t="shared" si="8"/>
        <v>7.89</v>
      </c>
      <c r="DQ21" s="26">
        <v>0.25</v>
      </c>
      <c r="DR21" s="26">
        <v>0.18</v>
      </c>
      <c r="DS21" s="26">
        <v>0.57</v>
      </c>
      <c r="DT21" s="26">
        <v>0.48</v>
      </c>
      <c r="DU21" s="26">
        <v>0.49</v>
      </c>
      <c r="DV21" s="26">
        <v>0.77</v>
      </c>
      <c r="DW21" s="26">
        <v>0.5</v>
      </c>
      <c r="DX21" s="26">
        <v>0.74</v>
      </c>
      <c r="DY21" s="26">
        <v>0.84</v>
      </c>
      <c r="DZ21" s="26">
        <v>0.29</v>
      </c>
      <c r="EA21" s="26">
        <v>0.7</v>
      </c>
      <c r="EB21" s="26">
        <v>1.01</v>
      </c>
      <c r="EC21" s="78">
        <f t="shared" si="9"/>
        <v>6.82</v>
      </c>
      <c r="ED21" s="26">
        <v>0.3</v>
      </c>
      <c r="EE21" s="26">
        <v>0.19</v>
      </c>
      <c r="EF21" s="26">
        <v>0.58</v>
      </c>
      <c r="EG21" s="26">
        <v>0.17</v>
      </c>
      <c r="EH21" s="26">
        <v>0.7</v>
      </c>
      <c r="EI21" s="26">
        <v>0.32</v>
      </c>
      <c r="EJ21" s="26">
        <v>0.76</v>
      </c>
      <c r="EK21" s="26">
        <v>0.99</v>
      </c>
      <c r="EL21" s="26">
        <v>1.4</v>
      </c>
      <c r="EM21" s="26">
        <v>1.55</v>
      </c>
      <c r="EN21" s="26">
        <v>0.69</v>
      </c>
      <c r="EO21" s="26">
        <v>0.09</v>
      </c>
      <c r="EP21" s="78">
        <f t="shared" si="10"/>
        <v>7.74</v>
      </c>
      <c r="EQ21" s="26">
        <v>0.08</v>
      </c>
      <c r="ER21" s="26">
        <v>0.65</v>
      </c>
      <c r="ES21" s="26">
        <v>0.08</v>
      </c>
      <c r="ET21" s="26">
        <v>0.17</v>
      </c>
      <c r="EU21" s="26">
        <v>0.14</v>
      </c>
      <c r="EV21" s="26">
        <v>0.27</v>
      </c>
      <c r="EW21" s="26">
        <v>0.32</v>
      </c>
      <c r="EX21" s="26">
        <v>0.7</v>
      </c>
      <c r="EY21" s="26">
        <v>0.57</v>
      </c>
      <c r="EZ21" s="26">
        <v>0.6</v>
      </c>
      <c r="FA21" s="26">
        <v>0.21</v>
      </c>
      <c r="FB21" s="26">
        <v>0.28</v>
      </c>
      <c r="FC21" s="78">
        <f t="shared" si="11"/>
        <v>4.07</v>
      </c>
      <c r="FD21" s="26">
        <v>0.19</v>
      </c>
      <c r="FE21" s="26">
        <v>0.8</v>
      </c>
      <c r="FF21" s="26">
        <v>0.07</v>
      </c>
      <c r="FG21" s="26">
        <v>0.24</v>
      </c>
      <c r="FH21" s="26">
        <v>0.29</v>
      </c>
      <c r="FI21" s="26">
        <v>0.12</v>
      </c>
      <c r="FJ21" s="26">
        <v>0.5</v>
      </c>
      <c r="FK21" s="26">
        <v>0.41</v>
      </c>
      <c r="FL21" s="26">
        <v>0.56</v>
      </c>
      <c r="FM21" s="26">
        <v>0.5</v>
      </c>
      <c r="FN21" s="26">
        <v>0.28</v>
      </c>
      <c r="FO21" s="26">
        <v>0.96</v>
      </c>
      <c r="FP21" s="78">
        <f t="shared" si="12"/>
        <v>4.92</v>
      </c>
      <c r="FQ21" s="26">
        <v>0.22</v>
      </c>
      <c r="FR21" s="26">
        <v>0.39</v>
      </c>
      <c r="FS21" s="26">
        <v>0.36</v>
      </c>
      <c r="FT21" s="26">
        <v>0.36</v>
      </c>
      <c r="FU21" s="26">
        <v>0.83</v>
      </c>
      <c r="FV21" s="26">
        <v>0.44</v>
      </c>
      <c r="FW21" s="26">
        <v>0.87</v>
      </c>
      <c r="FX21" s="26">
        <v>0.61</v>
      </c>
      <c r="FY21" s="26">
        <v>0.51</v>
      </c>
      <c r="FZ21" s="26">
        <v>0.24</v>
      </c>
      <c r="GA21" s="26">
        <v>0.87</v>
      </c>
      <c r="GB21" s="26">
        <v>0.8</v>
      </c>
      <c r="GC21" s="78">
        <f t="shared" si="13"/>
        <v>6.5</v>
      </c>
      <c r="GD21" s="26">
        <v>0.36</v>
      </c>
      <c r="GE21" s="26">
        <v>0.4</v>
      </c>
      <c r="GF21" s="26">
        <v>0.72</v>
      </c>
      <c r="GG21" s="26">
        <v>0.22</v>
      </c>
      <c r="GH21" s="26">
        <v>0.73</v>
      </c>
      <c r="GI21" s="26">
        <v>0.47</v>
      </c>
      <c r="GJ21" s="26">
        <v>0.96</v>
      </c>
      <c r="GK21" s="26">
        <v>0.72</v>
      </c>
      <c r="GL21" s="26">
        <v>0.43</v>
      </c>
      <c r="GM21" s="26">
        <v>0.58</v>
      </c>
      <c r="GN21" s="26">
        <v>0.58</v>
      </c>
      <c r="GO21" s="26">
        <v>0.93</v>
      </c>
      <c r="GP21" s="78">
        <f t="shared" si="14"/>
        <v>7.099999999999999</v>
      </c>
      <c r="GQ21" s="26">
        <v>1.08</v>
      </c>
      <c r="GR21" s="26">
        <v>1.05</v>
      </c>
      <c r="GS21" s="26">
        <v>0.5</v>
      </c>
      <c r="GT21" s="26">
        <v>0.35</v>
      </c>
      <c r="GU21" s="26">
        <v>0.74</v>
      </c>
      <c r="GV21" s="26">
        <v>0.5</v>
      </c>
      <c r="GW21" s="26">
        <v>0.64</v>
      </c>
      <c r="GX21" s="26">
        <v>0.45</v>
      </c>
      <c r="GY21" s="26">
        <v>0.44</v>
      </c>
      <c r="GZ21" s="26">
        <v>0.68</v>
      </c>
      <c r="HA21" s="26">
        <v>0.37</v>
      </c>
      <c r="HB21" s="26">
        <v>0.79</v>
      </c>
      <c r="HC21" s="78">
        <f t="shared" si="15"/>
        <v>7.59</v>
      </c>
      <c r="HD21" s="26">
        <v>0.54</v>
      </c>
      <c r="HE21" s="26">
        <v>0.36</v>
      </c>
      <c r="HF21" s="26">
        <v>0.52</v>
      </c>
      <c r="HG21" s="26">
        <v>0.42</v>
      </c>
      <c r="HH21" s="26">
        <v>0.35</v>
      </c>
      <c r="HI21" s="26">
        <v>0.57</v>
      </c>
      <c r="HJ21" s="26">
        <v>1.06</v>
      </c>
      <c r="HK21" s="26">
        <v>0.42</v>
      </c>
      <c r="HL21" s="26">
        <v>0.69</v>
      </c>
      <c r="HM21" s="26">
        <v>0.72</v>
      </c>
      <c r="HN21" s="26">
        <v>0.71</v>
      </c>
      <c r="HO21" s="26">
        <v>0.5</v>
      </c>
      <c r="HP21" s="78">
        <f t="shared" si="16"/>
        <v>6.859999999999999</v>
      </c>
      <c r="HQ21" s="26">
        <v>0.62</v>
      </c>
      <c r="HR21" s="26">
        <v>0.44</v>
      </c>
      <c r="HS21" s="26">
        <v>0.6</v>
      </c>
      <c r="HT21" s="26">
        <v>0.67</v>
      </c>
      <c r="HU21" s="26">
        <v>0.56</v>
      </c>
      <c r="HV21" s="26">
        <v>0.33</v>
      </c>
      <c r="HW21" s="26">
        <v>0.63</v>
      </c>
      <c r="HX21" s="26">
        <v>0.54</v>
      </c>
      <c r="HY21" s="26">
        <v>0.57</v>
      </c>
      <c r="HZ21" s="26">
        <v>0.49</v>
      </c>
      <c r="IA21" s="26">
        <v>0.31</v>
      </c>
      <c r="IB21" s="26">
        <v>0.82</v>
      </c>
      <c r="IC21" s="78">
        <f t="shared" si="17"/>
        <v>6.580000000000001</v>
      </c>
    </row>
    <row r="22" spans="1:237" s="1" customFormat="1" ht="30" customHeight="1">
      <c r="A22" s="99"/>
      <c r="B22" s="101"/>
      <c r="C22" s="20" t="s">
        <v>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69">
        <f t="shared" si="0"/>
        <v>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84">
        <f t="shared" si="1"/>
        <v>0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78">
        <f t="shared" si="2"/>
        <v>0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78">
        <f t="shared" si="3"/>
        <v>0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78">
        <f t="shared" si="4"/>
        <v>0</v>
      </c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78">
        <f t="shared" si="5"/>
        <v>0</v>
      </c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78">
        <f t="shared" si="6"/>
        <v>0</v>
      </c>
      <c r="CQ22" s="26">
        <v>0.11</v>
      </c>
      <c r="CR22" s="26">
        <v>0.04</v>
      </c>
      <c r="CS22" s="26">
        <v>0.13</v>
      </c>
      <c r="CT22" s="26">
        <v>0.06</v>
      </c>
      <c r="CU22" s="26">
        <v>0.15</v>
      </c>
      <c r="CV22" s="26">
        <v>0.08</v>
      </c>
      <c r="CW22" s="26">
        <v>0.14</v>
      </c>
      <c r="CX22" s="26">
        <v>0.11</v>
      </c>
      <c r="CY22" s="26">
        <v>0.17</v>
      </c>
      <c r="CZ22" s="26">
        <v>0.17</v>
      </c>
      <c r="DA22" s="26">
        <v>0.13</v>
      </c>
      <c r="DB22" s="26">
        <v>0.11</v>
      </c>
      <c r="DC22" s="78">
        <f t="shared" si="7"/>
        <v>1.4000000000000001</v>
      </c>
      <c r="DD22" s="26">
        <v>0.1</v>
      </c>
      <c r="DE22" s="26">
        <v>0.23</v>
      </c>
      <c r="DF22" s="26">
        <v>0.13</v>
      </c>
      <c r="DG22" s="26">
        <v>0.15</v>
      </c>
      <c r="DH22" s="26">
        <v>0.11</v>
      </c>
      <c r="DI22" s="26">
        <v>0.34</v>
      </c>
      <c r="DJ22" s="26">
        <v>0.16</v>
      </c>
      <c r="DK22" s="26">
        <v>0.15</v>
      </c>
      <c r="DL22" s="26">
        <v>0.14</v>
      </c>
      <c r="DM22" s="26">
        <v>0.11</v>
      </c>
      <c r="DN22" s="26">
        <v>0.12</v>
      </c>
      <c r="DO22" s="26">
        <v>0.17</v>
      </c>
      <c r="DP22" s="78">
        <f t="shared" si="8"/>
        <v>1.9099999999999997</v>
      </c>
      <c r="DQ22" s="26">
        <v>0.22</v>
      </c>
      <c r="DR22" s="26">
        <v>0.16</v>
      </c>
      <c r="DS22" s="26">
        <v>0.12</v>
      </c>
      <c r="DT22" s="26">
        <v>0.17</v>
      </c>
      <c r="DU22" s="26">
        <v>0.36</v>
      </c>
      <c r="DV22" s="26">
        <v>0.16</v>
      </c>
      <c r="DW22" s="26">
        <v>0.27</v>
      </c>
      <c r="DX22" s="26">
        <v>0.22</v>
      </c>
      <c r="DY22" s="26">
        <v>0.2</v>
      </c>
      <c r="DZ22" s="26">
        <v>0.29</v>
      </c>
      <c r="EA22" s="26">
        <v>0.26</v>
      </c>
      <c r="EB22" s="26">
        <v>0.17</v>
      </c>
      <c r="EC22" s="78">
        <f t="shared" si="9"/>
        <v>2.5999999999999996</v>
      </c>
      <c r="ED22" s="26">
        <v>0.18</v>
      </c>
      <c r="EE22" s="26">
        <v>0.1</v>
      </c>
      <c r="EF22" s="26">
        <v>0.16</v>
      </c>
      <c r="EG22" s="26">
        <v>0.1</v>
      </c>
      <c r="EH22" s="26">
        <v>0.26</v>
      </c>
      <c r="EI22" s="26">
        <v>0.1</v>
      </c>
      <c r="EJ22" s="26">
        <v>0.33</v>
      </c>
      <c r="EK22" s="26">
        <v>0.58</v>
      </c>
      <c r="EL22" s="26">
        <v>0.37</v>
      </c>
      <c r="EM22" s="26">
        <v>0.4</v>
      </c>
      <c r="EN22" s="26">
        <v>0.37</v>
      </c>
      <c r="EO22" s="26">
        <v>0.09</v>
      </c>
      <c r="EP22" s="78">
        <f t="shared" si="10"/>
        <v>3.04</v>
      </c>
      <c r="EQ22" s="26">
        <v>0.19</v>
      </c>
      <c r="ER22" s="26">
        <v>0.15</v>
      </c>
      <c r="ES22" s="26">
        <v>0.08</v>
      </c>
      <c r="ET22" s="26">
        <v>0.15</v>
      </c>
      <c r="EU22" s="26">
        <v>0.15</v>
      </c>
      <c r="EV22" s="26">
        <v>0.2</v>
      </c>
      <c r="EW22" s="26">
        <v>0.12</v>
      </c>
      <c r="EX22" s="26">
        <v>1.26</v>
      </c>
      <c r="EY22" s="26">
        <v>0.44</v>
      </c>
      <c r="EZ22" s="26">
        <v>0.41</v>
      </c>
      <c r="FA22" s="26">
        <v>0.16</v>
      </c>
      <c r="FB22" s="26">
        <v>0.14</v>
      </c>
      <c r="FC22" s="78">
        <f t="shared" si="11"/>
        <v>3.45</v>
      </c>
      <c r="FD22" s="26">
        <v>0.11</v>
      </c>
      <c r="FE22" s="26">
        <v>1.17</v>
      </c>
      <c r="FF22" s="26">
        <v>0.05</v>
      </c>
      <c r="FG22" s="26">
        <v>0.13</v>
      </c>
      <c r="FH22" s="26">
        <v>0.24</v>
      </c>
      <c r="FI22" s="26">
        <v>0.09</v>
      </c>
      <c r="FJ22" s="26">
        <v>0.16</v>
      </c>
      <c r="FK22" s="26">
        <v>0.08</v>
      </c>
      <c r="FL22" s="26">
        <v>0.05</v>
      </c>
      <c r="FM22" s="26">
        <v>0.13</v>
      </c>
      <c r="FN22" s="26">
        <v>0.21</v>
      </c>
      <c r="FO22" s="26">
        <v>0.16</v>
      </c>
      <c r="FP22" s="78">
        <f t="shared" si="12"/>
        <v>2.5799999999999996</v>
      </c>
      <c r="FQ22" s="26">
        <v>0.09</v>
      </c>
      <c r="FR22" s="26">
        <v>0.17</v>
      </c>
      <c r="FS22" s="26">
        <v>0.18</v>
      </c>
      <c r="FT22" s="26">
        <v>0.08</v>
      </c>
      <c r="FU22" s="26">
        <v>0.23</v>
      </c>
      <c r="FV22" s="26">
        <v>0.25</v>
      </c>
      <c r="FW22" s="26">
        <v>0.25</v>
      </c>
      <c r="FX22" s="26">
        <v>0.15</v>
      </c>
      <c r="FY22" s="26">
        <v>0.14</v>
      </c>
      <c r="FZ22" s="26">
        <v>0.18</v>
      </c>
      <c r="GA22" s="26">
        <v>0.29</v>
      </c>
      <c r="GB22" s="26">
        <v>0.31</v>
      </c>
      <c r="GC22" s="78">
        <f t="shared" si="13"/>
        <v>2.32</v>
      </c>
      <c r="GD22" s="26">
        <v>0.2</v>
      </c>
      <c r="GE22" s="26">
        <v>0.26</v>
      </c>
      <c r="GF22" s="26">
        <v>0.21</v>
      </c>
      <c r="GG22" s="26">
        <v>0.08</v>
      </c>
      <c r="GH22" s="26">
        <v>0.22</v>
      </c>
      <c r="GI22" s="26">
        <v>0.23</v>
      </c>
      <c r="GJ22" s="26">
        <v>0.31</v>
      </c>
      <c r="GK22" s="26">
        <v>0.2</v>
      </c>
      <c r="GL22" s="26">
        <v>0.16</v>
      </c>
      <c r="GM22" s="26">
        <v>0.1</v>
      </c>
      <c r="GN22" s="26">
        <v>0.48</v>
      </c>
      <c r="GO22" s="26">
        <v>0.21</v>
      </c>
      <c r="GP22" s="78">
        <f t="shared" si="14"/>
        <v>2.66</v>
      </c>
      <c r="GQ22" s="26">
        <v>0.15</v>
      </c>
      <c r="GR22" s="26">
        <v>0.11</v>
      </c>
      <c r="GS22" s="26">
        <v>0.42</v>
      </c>
      <c r="GT22" s="26">
        <v>0.11</v>
      </c>
      <c r="GU22" s="26">
        <v>0.42</v>
      </c>
      <c r="GV22" s="26">
        <v>0.32</v>
      </c>
      <c r="GW22" s="26">
        <v>0.37</v>
      </c>
      <c r="GX22" s="26">
        <v>0.25</v>
      </c>
      <c r="GY22" s="26">
        <v>0.22</v>
      </c>
      <c r="GZ22" s="26">
        <v>0.28</v>
      </c>
      <c r="HA22" s="26">
        <v>0.17</v>
      </c>
      <c r="HB22" s="26">
        <v>0.32</v>
      </c>
      <c r="HC22" s="78">
        <f t="shared" si="15"/>
        <v>3.14</v>
      </c>
      <c r="HD22" s="26">
        <v>0.21</v>
      </c>
      <c r="HE22" s="26">
        <v>0.13</v>
      </c>
      <c r="HF22" s="26">
        <v>0.31</v>
      </c>
      <c r="HG22" s="26">
        <v>0.15</v>
      </c>
      <c r="HH22" s="26">
        <v>0.12</v>
      </c>
      <c r="HI22" s="26">
        <v>0.52</v>
      </c>
      <c r="HJ22" s="26">
        <v>0.47</v>
      </c>
      <c r="HK22" s="26">
        <v>0.17</v>
      </c>
      <c r="HL22" s="26">
        <v>0.41</v>
      </c>
      <c r="HM22" s="26">
        <v>0.22</v>
      </c>
      <c r="HN22" s="26">
        <v>0.41</v>
      </c>
      <c r="HO22" s="26">
        <v>0.31</v>
      </c>
      <c r="HP22" s="78">
        <f t="shared" si="16"/>
        <v>3.4300000000000006</v>
      </c>
      <c r="HQ22" s="26">
        <v>0.22</v>
      </c>
      <c r="HR22" s="26">
        <v>0.14</v>
      </c>
      <c r="HS22" s="26">
        <v>0.16</v>
      </c>
      <c r="HT22" s="26">
        <v>0.2</v>
      </c>
      <c r="HU22" s="26">
        <v>0.31</v>
      </c>
      <c r="HV22" s="26">
        <v>0.25</v>
      </c>
      <c r="HW22" s="26">
        <v>0.26</v>
      </c>
      <c r="HX22" s="26">
        <v>0.21</v>
      </c>
      <c r="HY22" s="26">
        <v>0.15</v>
      </c>
      <c r="HZ22" s="26">
        <v>0.29</v>
      </c>
      <c r="IA22" s="26">
        <v>0.17</v>
      </c>
      <c r="IB22" s="26">
        <v>0.23</v>
      </c>
      <c r="IC22" s="78">
        <f t="shared" si="17"/>
        <v>2.59</v>
      </c>
    </row>
    <row r="23" spans="1:237" s="1" customFormat="1" ht="30" customHeight="1" thickBot="1">
      <c r="A23" s="99"/>
      <c r="B23" s="101"/>
      <c r="C23" s="18" t="s">
        <v>17</v>
      </c>
      <c r="D23" s="7">
        <f>13201/1000000</f>
        <v>0.013201</v>
      </c>
      <c r="E23" s="7">
        <f>388/1000000</f>
        <v>0.000388</v>
      </c>
      <c r="F23" s="7">
        <f>215/1000000</f>
        <v>0.000215</v>
      </c>
      <c r="G23" s="7">
        <f>1928/1000000</f>
        <v>0.001928</v>
      </c>
      <c r="H23" s="7">
        <f>130147/1000000</f>
        <v>0.130147</v>
      </c>
      <c r="I23" s="7">
        <f>3109/1000000</f>
        <v>0.003109</v>
      </c>
      <c r="J23" s="7">
        <f>4330/1000000</f>
        <v>0.00433</v>
      </c>
      <c r="K23" s="7">
        <f>9265/1000000</f>
        <v>0.009265</v>
      </c>
      <c r="L23" s="7">
        <f>5108.5/1000000</f>
        <v>0.0051085</v>
      </c>
      <c r="M23" s="7">
        <f>6142/1000000</f>
        <v>0.006142</v>
      </c>
      <c r="N23" s="7"/>
      <c r="O23" s="7">
        <f>7009/1000000</f>
        <v>0.007009</v>
      </c>
      <c r="P23" s="66">
        <f t="shared" si="0"/>
        <v>0.1808425</v>
      </c>
      <c r="Q23" s="12">
        <f>20064/1000000</f>
        <v>0.020064</v>
      </c>
      <c r="R23" s="12">
        <f>17527/1000000</f>
        <v>0.017527</v>
      </c>
      <c r="S23" s="12">
        <f>15483/1000000</f>
        <v>0.015483</v>
      </c>
      <c r="T23" s="12">
        <f>56070/1000000</f>
        <v>0.05607</v>
      </c>
      <c r="U23" s="12">
        <f>8690/1000000</f>
        <v>0.00869</v>
      </c>
      <c r="V23" s="12">
        <f>5230/1000000</f>
        <v>0.00523</v>
      </c>
      <c r="W23" s="12">
        <f>3001/1000000</f>
        <v>0.003001</v>
      </c>
      <c r="X23" s="12">
        <f>127963/1000000</f>
        <v>0.127963</v>
      </c>
      <c r="Y23" s="12">
        <f>5757/1000000</f>
        <v>0.005757</v>
      </c>
      <c r="Z23" s="12">
        <f>16026/1000000</f>
        <v>0.016026</v>
      </c>
      <c r="AA23" s="12">
        <f>39690/1000000</f>
        <v>0.03969</v>
      </c>
      <c r="AB23" s="12">
        <f>59071/1000000</f>
        <v>0.059071</v>
      </c>
      <c r="AC23" s="81">
        <f t="shared" si="1"/>
        <v>0.37457199999999996</v>
      </c>
      <c r="AD23" s="24">
        <f>25868/1000000</f>
        <v>0.025868</v>
      </c>
      <c r="AE23" s="24">
        <f>24430/1000000</f>
        <v>0.02443</v>
      </c>
      <c r="AF23" s="24">
        <f>14775/1000000</f>
        <v>0.014775</v>
      </c>
      <c r="AG23" s="24">
        <f>307840/1000000</f>
        <v>0.30784</v>
      </c>
      <c r="AH23" s="24">
        <f>16801/1000000</f>
        <v>0.016801</v>
      </c>
      <c r="AI23" s="24">
        <f>14274/1000000</f>
        <v>0.014274</v>
      </c>
      <c r="AJ23" s="24">
        <f>13417/1000000</f>
        <v>0.013417</v>
      </c>
      <c r="AK23" s="24">
        <f>6211/1000000</f>
        <v>0.006211</v>
      </c>
      <c r="AL23" s="24">
        <f>2225/1000000</f>
        <v>0.002225</v>
      </c>
      <c r="AM23" s="24">
        <f>10967/1000000</f>
        <v>0.010967</v>
      </c>
      <c r="AN23" s="24">
        <f>3722/1000000</f>
        <v>0.003722</v>
      </c>
      <c r="AO23" s="24">
        <f>15847/1000000</f>
        <v>0.015847</v>
      </c>
      <c r="AP23" s="74">
        <f t="shared" si="2"/>
        <v>0.45637700000000003</v>
      </c>
      <c r="AQ23" s="24">
        <f>210257/1000000</f>
        <v>0.210257</v>
      </c>
      <c r="AR23" s="24">
        <f>20231/1000000</f>
        <v>0.020231</v>
      </c>
      <c r="AS23" s="24">
        <f>6439/1000000</f>
        <v>0.006439</v>
      </c>
      <c r="AT23" s="24">
        <f>1878/1000000</f>
        <v>0.001878</v>
      </c>
      <c r="AU23" s="24">
        <f>16082/1000000</f>
        <v>0.016082</v>
      </c>
      <c r="AV23" s="24">
        <f>6314/1000000</f>
        <v>0.006314</v>
      </c>
      <c r="AW23" s="24">
        <f>54883/1000000</f>
        <v>0.054883</v>
      </c>
      <c r="AX23" s="24">
        <f>15504/1000000</f>
        <v>0.015504</v>
      </c>
      <c r="AY23" s="24">
        <f>10508/1000000</f>
        <v>0.010508</v>
      </c>
      <c r="AZ23" s="24">
        <f>31.37/1000000</f>
        <v>3.137E-05</v>
      </c>
      <c r="BA23" s="24">
        <f>6411/1000000</f>
        <v>0.006411</v>
      </c>
      <c r="BB23" s="24">
        <f>8128/1000000</f>
        <v>0.008128</v>
      </c>
      <c r="BC23" s="74">
        <f t="shared" si="3"/>
        <v>0.35666637</v>
      </c>
      <c r="BD23" s="24">
        <f>10324/1000000</f>
        <v>0.010324</v>
      </c>
      <c r="BE23" s="24">
        <f>32204/1000000</f>
        <v>0.032204</v>
      </c>
      <c r="BF23" s="24">
        <f>60229/1000000</f>
        <v>0.060229</v>
      </c>
      <c r="BG23" s="24">
        <f>2820/1000000</f>
        <v>0.00282</v>
      </c>
      <c r="BH23" s="24">
        <f>4593/1000000</f>
        <v>0.004593</v>
      </c>
      <c r="BI23" s="24">
        <f>17781/1000000</f>
        <v>0.017781</v>
      </c>
      <c r="BJ23" s="24">
        <f>85720/1000000</f>
        <v>0.08572</v>
      </c>
      <c r="BK23" s="24">
        <f>19675/1000000</f>
        <v>0.019675</v>
      </c>
      <c r="BL23" s="24">
        <f>11112/1000000</f>
        <v>0.011112</v>
      </c>
      <c r="BM23" s="24">
        <f>14021/1000000</f>
        <v>0.014021</v>
      </c>
      <c r="BN23" s="24">
        <f>24836/1000000</f>
        <v>0.024836</v>
      </c>
      <c r="BO23" s="24">
        <f>11036/1000000</f>
        <v>0.011036</v>
      </c>
      <c r="BP23" s="74">
        <f t="shared" si="4"/>
        <v>0.29435100000000003</v>
      </c>
      <c r="BQ23" s="24">
        <f>13409/1000000</f>
        <v>0.013409</v>
      </c>
      <c r="BR23" s="24">
        <f>28731/1000000</f>
        <v>0.028731</v>
      </c>
      <c r="BS23" s="24">
        <f>9048/1000000</f>
        <v>0.009048</v>
      </c>
      <c r="BT23" s="24">
        <f>5958/1000000</f>
        <v>0.005958</v>
      </c>
      <c r="BU23" s="24">
        <f>6229/1000000</f>
        <v>0.006229</v>
      </c>
      <c r="BV23" s="24">
        <f>95034/1000000</f>
        <v>0.095034</v>
      </c>
      <c r="BW23" s="24">
        <f>3846/1000000</f>
        <v>0.003846</v>
      </c>
      <c r="BX23" s="24">
        <f>138454/1000000</f>
        <v>0.138454</v>
      </c>
      <c r="BY23" s="24">
        <f>14067/1000000</f>
        <v>0.014067</v>
      </c>
      <c r="BZ23" s="24">
        <f>13312/1000000</f>
        <v>0.013312</v>
      </c>
      <c r="CA23" s="24">
        <f>113231/1000000</f>
        <v>0.113231</v>
      </c>
      <c r="CB23" s="24">
        <f>1884/1000000</f>
        <v>0.001884</v>
      </c>
      <c r="CC23" s="74">
        <f t="shared" si="5"/>
        <v>0.443203</v>
      </c>
      <c r="CD23" s="54">
        <f>1884/1000000</f>
        <v>0.001884</v>
      </c>
      <c r="CE23" s="55">
        <f>9243/1000000</f>
        <v>0.009243</v>
      </c>
      <c r="CF23" s="55">
        <f>577/1000000</f>
        <v>0.000577</v>
      </c>
      <c r="CG23" s="55">
        <f>1244/1000000</f>
        <v>0.001244</v>
      </c>
      <c r="CH23" s="55">
        <f>590/1000000</f>
        <v>0.00059</v>
      </c>
      <c r="CI23" s="55">
        <f>1042/1000000</f>
        <v>0.001042</v>
      </c>
      <c r="CJ23" s="55">
        <f>590/1000000</f>
        <v>0.00059</v>
      </c>
      <c r="CK23" s="55">
        <f>11875/1000000</f>
        <v>0.011875</v>
      </c>
      <c r="CL23" s="55">
        <f>4313/1000000</f>
        <v>0.004313</v>
      </c>
      <c r="CM23" s="55">
        <f>2970/1000000</f>
        <v>0.00297</v>
      </c>
      <c r="CN23" s="56"/>
      <c r="CO23" s="55">
        <f>1200/1000000</f>
        <v>0.0012</v>
      </c>
      <c r="CP23" s="74">
        <f t="shared" si="6"/>
        <v>0.035528</v>
      </c>
      <c r="CQ23" s="24">
        <v>0.03</v>
      </c>
      <c r="CR23" s="24">
        <v>0.34</v>
      </c>
      <c r="CS23" s="24">
        <v>0.04</v>
      </c>
      <c r="CT23" s="24">
        <v>0.02</v>
      </c>
      <c r="CU23" s="24">
        <v>0.03</v>
      </c>
      <c r="CV23" s="24">
        <v>0.03</v>
      </c>
      <c r="CW23" s="24">
        <v>0.09</v>
      </c>
      <c r="CX23" s="24">
        <v>0</v>
      </c>
      <c r="CY23" s="24">
        <v>0.01</v>
      </c>
      <c r="CZ23" s="24">
        <v>0</v>
      </c>
      <c r="DA23" s="24">
        <v>0.01</v>
      </c>
      <c r="DB23" s="24">
        <v>0</v>
      </c>
      <c r="DC23" s="74">
        <f t="shared" si="7"/>
        <v>0.6</v>
      </c>
      <c r="DD23" s="24">
        <v>0.01</v>
      </c>
      <c r="DE23" s="24">
        <v>0.04</v>
      </c>
      <c r="DF23" s="24">
        <v>0</v>
      </c>
      <c r="DG23" s="24">
        <v>0.01</v>
      </c>
      <c r="DH23" s="24">
        <v>0.01</v>
      </c>
      <c r="DI23" s="24">
        <v>0</v>
      </c>
      <c r="DJ23" s="24">
        <v>0.03</v>
      </c>
      <c r="DK23" s="24">
        <v>0.01</v>
      </c>
      <c r="DL23" s="24">
        <v>0</v>
      </c>
      <c r="DM23" s="24">
        <v>0.02</v>
      </c>
      <c r="DN23" s="24">
        <v>0.04</v>
      </c>
      <c r="DO23" s="24">
        <v>0.02</v>
      </c>
      <c r="DP23" s="74">
        <f t="shared" si="8"/>
        <v>0.19</v>
      </c>
      <c r="DQ23" s="24">
        <v>0.04</v>
      </c>
      <c r="DR23" s="24">
        <v>0.02</v>
      </c>
      <c r="DS23" s="24">
        <v>0.01</v>
      </c>
      <c r="DT23" s="24">
        <v>0.06</v>
      </c>
      <c r="DU23" s="24">
        <v>0.01</v>
      </c>
      <c r="DV23" s="24">
        <v>0.04</v>
      </c>
      <c r="DW23" s="24">
        <v>0.03</v>
      </c>
      <c r="DX23" s="24">
        <v>0.02</v>
      </c>
      <c r="DY23" s="24">
        <v>0.05</v>
      </c>
      <c r="DZ23" s="24">
        <v>0.01</v>
      </c>
      <c r="EA23" s="24">
        <v>0.05</v>
      </c>
      <c r="EB23" s="24">
        <v>0.02</v>
      </c>
      <c r="EC23" s="74">
        <f t="shared" si="9"/>
        <v>0.36000000000000004</v>
      </c>
      <c r="ED23" s="24">
        <v>0.09</v>
      </c>
      <c r="EE23" s="24">
        <v>0.02</v>
      </c>
      <c r="EF23" s="24">
        <v>0.03</v>
      </c>
      <c r="EG23" s="24">
        <v>0.07</v>
      </c>
      <c r="EH23" s="24">
        <v>0.02</v>
      </c>
      <c r="EI23" s="24">
        <v>0.01</v>
      </c>
      <c r="EJ23" s="24">
        <v>0.05</v>
      </c>
      <c r="EK23" s="24">
        <v>0.03</v>
      </c>
      <c r="EL23" s="24">
        <v>0.3</v>
      </c>
      <c r="EM23" s="24">
        <v>0.03</v>
      </c>
      <c r="EN23" s="24">
        <v>0.01</v>
      </c>
      <c r="EO23" s="24">
        <v>0.01</v>
      </c>
      <c r="EP23" s="74">
        <f t="shared" si="10"/>
        <v>0.6700000000000002</v>
      </c>
      <c r="EQ23" s="24">
        <v>0.14</v>
      </c>
      <c r="ER23" s="24">
        <v>0.01</v>
      </c>
      <c r="ES23" s="24">
        <v>0.03</v>
      </c>
      <c r="ET23" s="24">
        <v>0.01</v>
      </c>
      <c r="EU23" s="24">
        <v>0.03</v>
      </c>
      <c r="EV23" s="24">
        <v>0.08</v>
      </c>
      <c r="EW23" s="24">
        <v>0.03</v>
      </c>
      <c r="EX23" s="24">
        <v>0.01</v>
      </c>
      <c r="EY23" s="24">
        <v>0.04</v>
      </c>
      <c r="EZ23" s="24">
        <v>0.03</v>
      </c>
      <c r="FA23" s="24">
        <v>0.04</v>
      </c>
      <c r="FB23" s="24">
        <v>0.04</v>
      </c>
      <c r="FC23" s="74">
        <f t="shared" si="11"/>
        <v>0.49</v>
      </c>
      <c r="FD23" s="24">
        <v>0.06</v>
      </c>
      <c r="FE23" s="24">
        <v>0.47</v>
      </c>
      <c r="FF23" s="24">
        <v>0</v>
      </c>
      <c r="FG23" s="24">
        <v>0</v>
      </c>
      <c r="FH23" s="24">
        <v>0</v>
      </c>
      <c r="FI23" s="24">
        <v>0</v>
      </c>
      <c r="FJ23" s="24">
        <v>0</v>
      </c>
      <c r="FK23" s="24">
        <v>0</v>
      </c>
      <c r="FL23" s="24">
        <v>0</v>
      </c>
      <c r="FM23" s="24">
        <v>0.02</v>
      </c>
      <c r="FN23" s="24">
        <v>0</v>
      </c>
      <c r="FO23" s="24">
        <v>0</v>
      </c>
      <c r="FP23" s="74">
        <f t="shared" si="12"/>
        <v>0.55</v>
      </c>
      <c r="FQ23" s="24">
        <v>0.03</v>
      </c>
      <c r="FR23" s="24">
        <v>0.01</v>
      </c>
      <c r="FS23" s="24">
        <v>0.01</v>
      </c>
      <c r="FT23" s="24">
        <v>0</v>
      </c>
      <c r="FU23" s="24">
        <v>0</v>
      </c>
      <c r="FV23" s="24">
        <v>0.01</v>
      </c>
      <c r="FW23" s="24">
        <v>0.05</v>
      </c>
      <c r="FX23" s="24">
        <v>0.01</v>
      </c>
      <c r="FY23" s="24">
        <v>0.01</v>
      </c>
      <c r="FZ23" s="24">
        <v>0</v>
      </c>
      <c r="GA23" s="24">
        <v>0.2</v>
      </c>
      <c r="GB23" s="24">
        <v>0.05</v>
      </c>
      <c r="GC23" s="74">
        <f t="shared" si="13"/>
        <v>0.38</v>
      </c>
      <c r="GD23" s="24">
        <v>0.03</v>
      </c>
      <c r="GE23" s="24">
        <v>0.03</v>
      </c>
      <c r="GF23" s="24">
        <v>0.01</v>
      </c>
      <c r="GG23" s="24">
        <v>0.01</v>
      </c>
      <c r="GH23" s="24">
        <v>0.07</v>
      </c>
      <c r="GI23" s="24">
        <v>0.02</v>
      </c>
      <c r="GJ23" s="24">
        <v>0.02</v>
      </c>
      <c r="GK23" s="24">
        <v>0.02</v>
      </c>
      <c r="GL23" s="24">
        <v>0.02</v>
      </c>
      <c r="GM23" s="24">
        <v>0.02</v>
      </c>
      <c r="GN23" s="24">
        <v>0.02</v>
      </c>
      <c r="GO23" s="24">
        <v>0.08</v>
      </c>
      <c r="GP23" s="74">
        <f t="shared" si="14"/>
        <v>0.35</v>
      </c>
      <c r="GQ23" s="24">
        <v>0.02</v>
      </c>
      <c r="GR23" s="24">
        <v>0.02</v>
      </c>
      <c r="GS23" s="24">
        <v>0.05</v>
      </c>
      <c r="GT23" s="24">
        <v>0.05</v>
      </c>
      <c r="GU23" s="24">
        <v>0.01</v>
      </c>
      <c r="GV23" s="24">
        <v>0.01</v>
      </c>
      <c r="GW23" s="24">
        <v>0.01</v>
      </c>
      <c r="GX23" s="24">
        <v>0.01</v>
      </c>
      <c r="GY23" s="24">
        <v>0.04</v>
      </c>
      <c r="GZ23" s="24">
        <v>0.11</v>
      </c>
      <c r="HA23" s="24">
        <v>0.04</v>
      </c>
      <c r="HB23" s="24">
        <v>0.03</v>
      </c>
      <c r="HC23" s="74">
        <f t="shared" si="15"/>
        <v>0.4</v>
      </c>
      <c r="HD23" s="24">
        <v>0.02</v>
      </c>
      <c r="HE23" s="24">
        <v>0.06</v>
      </c>
      <c r="HF23" s="24">
        <v>0.04</v>
      </c>
      <c r="HG23" s="24">
        <v>0.03</v>
      </c>
      <c r="HH23" s="24">
        <v>0.03</v>
      </c>
      <c r="HI23" s="24">
        <v>0.01</v>
      </c>
      <c r="HJ23" s="24">
        <v>0.04</v>
      </c>
      <c r="HK23" s="24">
        <v>0</v>
      </c>
      <c r="HL23" s="24">
        <v>0.04</v>
      </c>
      <c r="HM23" s="24">
        <v>0.02</v>
      </c>
      <c r="HN23" s="24">
        <v>0.03</v>
      </c>
      <c r="HO23" s="24">
        <v>0.04</v>
      </c>
      <c r="HP23" s="74">
        <f t="shared" si="16"/>
        <v>0.36000000000000004</v>
      </c>
      <c r="HQ23" s="24">
        <v>0.05</v>
      </c>
      <c r="HR23" s="24">
        <v>0.03</v>
      </c>
      <c r="HS23" s="24">
        <v>0.04</v>
      </c>
      <c r="HT23" s="24">
        <v>0.02</v>
      </c>
      <c r="HU23" s="24">
        <v>0.01</v>
      </c>
      <c r="HV23" s="24">
        <v>0.01</v>
      </c>
      <c r="HW23" s="24">
        <v>0.04</v>
      </c>
      <c r="HX23" s="24">
        <v>0.01</v>
      </c>
      <c r="HY23" s="24">
        <v>0.01</v>
      </c>
      <c r="HZ23" s="24">
        <v>0.01</v>
      </c>
      <c r="IA23" s="24">
        <v>0.01</v>
      </c>
      <c r="IB23" s="24">
        <v>0.01</v>
      </c>
      <c r="IC23" s="74">
        <f t="shared" si="17"/>
        <v>0.25000000000000006</v>
      </c>
    </row>
    <row r="24" spans="1:237" s="1" customFormat="1" ht="30" customHeight="1" thickBot="1">
      <c r="A24" s="99"/>
      <c r="B24" s="102"/>
      <c r="C24" s="8" t="s">
        <v>11</v>
      </c>
      <c r="D24" s="13">
        <f>60618243/1000000</f>
        <v>60.618243</v>
      </c>
      <c r="E24" s="13">
        <f>7606824/1000000</f>
        <v>7.606824</v>
      </c>
      <c r="F24" s="13">
        <f>186424940/1000000</f>
        <v>186.42494</v>
      </c>
      <c r="G24" s="13">
        <f>29869288/1000000</f>
        <v>29.869288</v>
      </c>
      <c r="H24" s="13">
        <f>25472653/1000000</f>
        <v>25.472653</v>
      </c>
      <c r="I24" s="13">
        <f>28009739/1000000</f>
        <v>28.009739</v>
      </c>
      <c r="J24" s="13">
        <f>31462438/1000000</f>
        <v>31.462438</v>
      </c>
      <c r="K24" s="13">
        <f>30174887/1000000</f>
        <v>30.174887</v>
      </c>
      <c r="L24" s="13">
        <f>26634757/1000000</f>
        <v>26.634757</v>
      </c>
      <c r="M24" s="13">
        <f>29433817/1000000</f>
        <v>29.433817</v>
      </c>
      <c r="N24" s="13">
        <f>33332869.17/1000000</f>
        <v>33.33286917</v>
      </c>
      <c r="O24" s="13">
        <f>25612346/1000000</f>
        <v>25.612346</v>
      </c>
      <c r="P24" s="70">
        <f>SUM(E24:O24)</f>
        <v>454.03455816999997</v>
      </c>
      <c r="Q24" s="37">
        <f>24711733/1000000</f>
        <v>24.711733</v>
      </c>
      <c r="R24" s="37">
        <f>22313350/1000000</f>
        <v>22.31335</v>
      </c>
      <c r="S24" s="37">
        <f>25514345/1000000</f>
        <v>25.514345</v>
      </c>
      <c r="T24" s="37">
        <f>23476992/1000000</f>
        <v>23.476992</v>
      </c>
      <c r="U24" s="37">
        <f>24886639/1000000</f>
        <v>24.886639</v>
      </c>
      <c r="V24" s="37">
        <f>24811711/1000000</f>
        <v>24.811711</v>
      </c>
      <c r="W24" s="37">
        <f>31212440/1000000</f>
        <v>31.21244</v>
      </c>
      <c r="X24" s="37">
        <f>26497177/1000000</f>
        <v>26.497177</v>
      </c>
      <c r="Y24" s="37">
        <f>26360827/1000000</f>
        <v>26.360827</v>
      </c>
      <c r="Z24" s="37">
        <f>26716394/1000000</f>
        <v>26.716394</v>
      </c>
      <c r="AA24" s="37">
        <f>20573198/1000000</f>
        <v>20.573198</v>
      </c>
      <c r="AB24" s="37">
        <f>29918004/1000000</f>
        <v>29.918004</v>
      </c>
      <c r="AC24" s="85">
        <f>SUM(AC18:AC23)</f>
        <v>3.7922350000000002</v>
      </c>
      <c r="AD24" s="57">
        <f>21639103/1000000</f>
        <v>21.639103</v>
      </c>
      <c r="AE24" s="57">
        <f>19039777/1000000</f>
        <v>19.039777</v>
      </c>
      <c r="AF24" s="57">
        <f>26009153/1000000</f>
        <v>26.009153</v>
      </c>
      <c r="AG24" s="57">
        <f>27116014/1000000</f>
        <v>27.116014</v>
      </c>
      <c r="AH24" s="57">
        <f>23951023/1000000</f>
        <v>23.951023</v>
      </c>
      <c r="AI24" s="57">
        <f>26126471/1000000</f>
        <v>26.126471</v>
      </c>
      <c r="AJ24" s="57">
        <f>27429331/1000000</f>
        <v>27.429331</v>
      </c>
      <c r="AK24" s="57">
        <f>28252037/1000000</f>
        <v>28.252037</v>
      </c>
      <c r="AL24" s="57">
        <f>28854712/1000000</f>
        <v>28.854712</v>
      </c>
      <c r="AM24" s="57">
        <f>21710300/1000000</f>
        <v>21.7103</v>
      </c>
      <c r="AN24" s="57">
        <f>25038065/1000000</f>
        <v>25.038065</v>
      </c>
      <c r="AO24" s="57">
        <f>27178936/1000000</f>
        <v>27.178936</v>
      </c>
      <c r="AP24" s="79">
        <f>SUM(AP18:AP23)</f>
        <v>5.771960999999999</v>
      </c>
      <c r="AQ24" s="57">
        <f>19914627/1000000</f>
        <v>19.914627</v>
      </c>
      <c r="AR24" s="57">
        <f>17534168/1000000</f>
        <v>17.534168</v>
      </c>
      <c r="AS24" s="57">
        <f>23283625/1000000</f>
        <v>23.283625</v>
      </c>
      <c r="AT24" s="57">
        <f>24250752/1000000</f>
        <v>24.250752</v>
      </c>
      <c r="AU24" s="57">
        <f>23841988/1000000</f>
        <v>23.841988</v>
      </c>
      <c r="AV24" s="57">
        <f>25029495/1000000</f>
        <v>25.029495</v>
      </c>
      <c r="AW24" s="57">
        <f>27425493/1000000</f>
        <v>27.425493</v>
      </c>
      <c r="AX24" s="57">
        <f>29159963/1000000</f>
        <v>29.159963</v>
      </c>
      <c r="AY24" s="57">
        <f>27969430/1000000</f>
        <v>27.96943</v>
      </c>
      <c r="AZ24" s="57">
        <f>21800068/1000000</f>
        <v>21.800068</v>
      </c>
      <c r="BA24" s="57">
        <f>24730970/1000000</f>
        <v>24.73097</v>
      </c>
      <c r="BB24" s="57">
        <f>34524523/1000000</f>
        <v>34.524523</v>
      </c>
      <c r="BC24" s="79">
        <f>SUM(BC18:BC23)</f>
        <v>13.75967037</v>
      </c>
      <c r="BD24" s="57">
        <f>19200804/1000000</f>
        <v>19.200804</v>
      </c>
      <c r="BE24" s="57">
        <f>20720562/1000000</f>
        <v>20.720562</v>
      </c>
      <c r="BF24" s="57">
        <f>2477173/1000000</f>
        <v>2.477173</v>
      </c>
      <c r="BG24" s="57">
        <f>21438498/1000000</f>
        <v>21.438498</v>
      </c>
      <c r="BH24" s="57">
        <f>26300170/1000000</f>
        <v>26.30017</v>
      </c>
      <c r="BI24" s="57">
        <f>26500191/1000000</f>
        <v>26.500191</v>
      </c>
      <c r="BJ24" s="57">
        <f>24283174/1000000</f>
        <v>24.283174</v>
      </c>
      <c r="BK24" s="57">
        <f>29983020/1000000</f>
        <v>29.98302</v>
      </c>
      <c r="BL24" s="57">
        <f>21470696/1000000</f>
        <v>21.470696</v>
      </c>
      <c r="BM24" s="57">
        <f>22475270/1000000</f>
        <v>22.47527</v>
      </c>
      <c r="BN24" s="57">
        <f>26409234/1000000</f>
        <v>26.409234</v>
      </c>
      <c r="BO24" s="57">
        <f>26355190/1000000</f>
        <v>26.35519</v>
      </c>
      <c r="BP24" s="79">
        <f>SUM(BP18:BP23)</f>
        <v>9.157029000000001</v>
      </c>
      <c r="BQ24" s="57">
        <f>20329702/1000000</f>
        <v>20.329702</v>
      </c>
      <c r="BR24" s="57">
        <f>20637243/1000000</f>
        <v>20.637243</v>
      </c>
      <c r="BS24" s="57">
        <f>26587572/1000000</f>
        <v>26.587572</v>
      </c>
      <c r="BT24" s="57">
        <f>24856222/1000000</f>
        <v>24.856222</v>
      </c>
      <c r="BU24" s="57">
        <f>28662158/1000000</f>
        <v>28.662158</v>
      </c>
      <c r="BV24" s="57">
        <f>26468550/1000000</f>
        <v>26.46855</v>
      </c>
      <c r="BW24" s="57">
        <f>28581700/1000000</f>
        <v>28.5817</v>
      </c>
      <c r="BX24" s="57">
        <f>31687648/1000000</f>
        <v>31.687648</v>
      </c>
      <c r="BY24" s="57">
        <f>23893889/1000000</f>
        <v>23.893889</v>
      </c>
      <c r="BZ24" s="57">
        <f>30541009/1000000</f>
        <v>30.541009</v>
      </c>
      <c r="CA24" s="57">
        <f>31123193/1000000</f>
        <v>31.123193</v>
      </c>
      <c r="CB24" s="57">
        <f>26343621/1000000</f>
        <v>26.343621</v>
      </c>
      <c r="CC24" s="79">
        <f>SUM(CC18:CC23)</f>
        <v>11.187458</v>
      </c>
      <c r="CD24" s="57">
        <f>SUM(CD18:CD23)</f>
        <v>0.417584</v>
      </c>
      <c r="CE24" s="57">
        <f aca="true" t="shared" si="83" ref="CE24:CP24">SUM(CE18:CE23)</f>
        <v>0.409522</v>
      </c>
      <c r="CF24" s="57">
        <f t="shared" si="83"/>
        <v>0.294686</v>
      </c>
      <c r="CG24" s="57">
        <f t="shared" si="83"/>
        <v>0.18942399999999998</v>
      </c>
      <c r="CH24" s="57">
        <f t="shared" si="83"/>
        <v>0.655018</v>
      </c>
      <c r="CI24" s="57">
        <f t="shared" si="83"/>
        <v>0.309065</v>
      </c>
      <c r="CJ24" s="57">
        <f t="shared" si="83"/>
        <v>0.655018</v>
      </c>
      <c r="CK24" s="57">
        <f t="shared" si="83"/>
        <v>0.6564559999999999</v>
      </c>
      <c r="CL24" s="57">
        <f t="shared" si="83"/>
        <v>0.789543</v>
      </c>
      <c r="CM24" s="57">
        <f t="shared" si="83"/>
        <v>0.502142</v>
      </c>
      <c r="CN24" s="58">
        <f t="shared" si="83"/>
        <v>0</v>
      </c>
      <c r="CO24" s="57">
        <f t="shared" si="83"/>
        <v>0.071498</v>
      </c>
      <c r="CP24" s="79">
        <f t="shared" si="83"/>
        <v>4.949956</v>
      </c>
      <c r="CQ24" s="57">
        <f>SUM(CQ18:CQ23)</f>
        <v>33.52</v>
      </c>
      <c r="CR24" s="57">
        <f aca="true" t="shared" si="84" ref="CR24:DC24">SUM(CR18:CR23)</f>
        <v>28.09</v>
      </c>
      <c r="CS24" s="57">
        <f t="shared" si="84"/>
        <v>30.599999999999998</v>
      </c>
      <c r="CT24" s="57">
        <f t="shared" si="84"/>
        <v>46.730000000000004</v>
      </c>
      <c r="CU24" s="57">
        <f t="shared" si="84"/>
        <v>29.12</v>
      </c>
      <c r="CV24" s="57">
        <f t="shared" si="84"/>
        <v>35.410000000000004</v>
      </c>
      <c r="CW24" s="57">
        <f t="shared" si="84"/>
        <v>44.160000000000004</v>
      </c>
      <c r="CX24" s="57">
        <f t="shared" si="84"/>
        <v>39.99</v>
      </c>
      <c r="CY24" s="57">
        <f t="shared" si="84"/>
        <v>39.62</v>
      </c>
      <c r="CZ24" s="57">
        <f t="shared" si="84"/>
        <v>42.37</v>
      </c>
      <c r="DA24" s="57">
        <f t="shared" si="84"/>
        <v>40.95</v>
      </c>
      <c r="DB24" s="57">
        <f t="shared" si="84"/>
        <v>50.410000000000004</v>
      </c>
      <c r="DC24" s="79">
        <f t="shared" si="84"/>
        <v>460.9700000000001</v>
      </c>
      <c r="DD24" s="57">
        <f>SUM(DD18:DD23)</f>
        <v>41.04</v>
      </c>
      <c r="DE24" s="57">
        <f aca="true" t="shared" si="85" ref="DE24:DP24">SUM(DE18:DE23)</f>
        <v>37.03</v>
      </c>
      <c r="DF24" s="57">
        <f t="shared" si="85"/>
        <v>49.22</v>
      </c>
      <c r="DG24" s="57">
        <f t="shared" si="85"/>
        <v>45.46</v>
      </c>
      <c r="DH24" s="57">
        <f t="shared" si="85"/>
        <v>50.199999999999996</v>
      </c>
      <c r="DI24" s="57">
        <f t="shared" si="85"/>
        <v>51.17</v>
      </c>
      <c r="DJ24" s="57">
        <f t="shared" si="85"/>
        <v>47.959999999999994</v>
      </c>
      <c r="DK24" s="57">
        <f t="shared" si="85"/>
        <v>43.599999999999994</v>
      </c>
      <c r="DL24" s="57">
        <f t="shared" si="85"/>
        <v>45.45</v>
      </c>
      <c r="DM24" s="57">
        <f t="shared" si="85"/>
        <v>46.89000000000001</v>
      </c>
      <c r="DN24" s="57">
        <f t="shared" si="85"/>
        <v>45.54</v>
      </c>
      <c r="DO24" s="57">
        <f t="shared" si="85"/>
        <v>47.92</v>
      </c>
      <c r="DP24" s="79">
        <f t="shared" si="85"/>
        <v>551.48</v>
      </c>
      <c r="DQ24" s="57">
        <f>SUM(DQ18:DQ23)</f>
        <v>42.07</v>
      </c>
      <c r="DR24" s="57">
        <f aca="true" t="shared" si="86" ref="DR24:EC24">SUM(DR18:DR23)</f>
        <v>41.24999999999999</v>
      </c>
      <c r="DS24" s="57">
        <f t="shared" si="86"/>
        <v>48.489999999999995</v>
      </c>
      <c r="DT24" s="57">
        <f t="shared" si="86"/>
        <v>47.21</v>
      </c>
      <c r="DU24" s="57">
        <f t="shared" si="86"/>
        <v>52.75</v>
      </c>
      <c r="DV24" s="57">
        <f t="shared" si="86"/>
        <v>57.06</v>
      </c>
      <c r="DW24" s="57">
        <f t="shared" si="86"/>
        <v>55.370000000000005</v>
      </c>
      <c r="DX24" s="57">
        <f t="shared" si="86"/>
        <v>58.1</v>
      </c>
      <c r="DY24" s="57">
        <f t="shared" si="86"/>
        <v>73.08</v>
      </c>
      <c r="DZ24" s="57">
        <f t="shared" si="86"/>
        <v>49.92999999999999</v>
      </c>
      <c r="EA24" s="57">
        <f t="shared" si="86"/>
        <v>60.209999999999994</v>
      </c>
      <c r="EB24" s="57">
        <f t="shared" si="86"/>
        <v>57.78</v>
      </c>
      <c r="EC24" s="79">
        <f t="shared" si="86"/>
        <v>643.3000000000001</v>
      </c>
      <c r="ED24" s="57">
        <f>SUM(ED18:ED23)</f>
        <v>55.31</v>
      </c>
      <c r="EE24" s="57">
        <f aca="true" t="shared" si="87" ref="EE24:EP24">SUM(EE18:EE23)</f>
        <v>55.84</v>
      </c>
      <c r="EF24" s="57">
        <f t="shared" si="87"/>
        <v>62.41</v>
      </c>
      <c r="EG24" s="57">
        <f t="shared" si="87"/>
        <v>69.81999999999998</v>
      </c>
      <c r="EH24" s="57">
        <f t="shared" si="87"/>
        <v>74.99000000000001</v>
      </c>
      <c r="EI24" s="57">
        <f t="shared" si="87"/>
        <v>79.28999999999999</v>
      </c>
      <c r="EJ24" s="57">
        <f t="shared" si="87"/>
        <v>98.41999999999999</v>
      </c>
      <c r="EK24" s="57">
        <f t="shared" si="87"/>
        <v>60.3</v>
      </c>
      <c r="EL24" s="57">
        <f t="shared" si="87"/>
        <v>98.78000000000002</v>
      </c>
      <c r="EM24" s="57">
        <f t="shared" si="87"/>
        <v>96.46000000000001</v>
      </c>
      <c r="EN24" s="57">
        <f t="shared" si="87"/>
        <v>67.76</v>
      </c>
      <c r="EO24" s="57">
        <f t="shared" si="87"/>
        <v>59.81</v>
      </c>
      <c r="EP24" s="79">
        <f t="shared" si="87"/>
        <v>879.1899999999999</v>
      </c>
      <c r="EQ24" s="57">
        <f>SUM(EQ18:EQ23)</f>
        <v>50.309999999999995</v>
      </c>
      <c r="ER24" s="57">
        <f aca="true" t="shared" si="88" ref="ER24:FC24">SUM(ER18:ER23)</f>
        <v>63.21</v>
      </c>
      <c r="ES24" s="57">
        <f t="shared" si="88"/>
        <v>51.64</v>
      </c>
      <c r="ET24" s="57">
        <f t="shared" si="88"/>
        <v>41.98</v>
      </c>
      <c r="EU24" s="57">
        <f t="shared" si="88"/>
        <v>55.72</v>
      </c>
      <c r="EV24" s="57">
        <f t="shared" si="88"/>
        <v>50.77000000000001</v>
      </c>
      <c r="EW24" s="57">
        <f t="shared" si="88"/>
        <v>72.69</v>
      </c>
      <c r="EX24" s="57">
        <f t="shared" si="88"/>
        <v>75.16000000000001</v>
      </c>
      <c r="EY24" s="57">
        <f t="shared" si="88"/>
        <v>44.86</v>
      </c>
      <c r="EZ24" s="57">
        <f t="shared" si="88"/>
        <v>81.58999999999999</v>
      </c>
      <c r="FA24" s="57">
        <f t="shared" si="88"/>
        <v>40.769999999999996</v>
      </c>
      <c r="FB24" s="57">
        <f t="shared" si="88"/>
        <v>48.43</v>
      </c>
      <c r="FC24" s="79">
        <f t="shared" si="88"/>
        <v>677.1300000000001</v>
      </c>
      <c r="FD24" s="57">
        <f>SUM(FD18:FD23)</f>
        <v>53.61</v>
      </c>
      <c r="FE24" s="57">
        <f aca="true" t="shared" si="89" ref="FE24:FP24">SUM(FE18:FE23)</f>
        <v>57.599999999999994</v>
      </c>
      <c r="FF24" s="57">
        <f t="shared" si="89"/>
        <v>37.529999999999994</v>
      </c>
      <c r="FG24" s="57">
        <f t="shared" si="89"/>
        <v>49.290000000000006</v>
      </c>
      <c r="FH24" s="57">
        <f t="shared" si="89"/>
        <v>61.480000000000004</v>
      </c>
      <c r="FI24" s="57">
        <f t="shared" si="89"/>
        <v>36.160000000000004</v>
      </c>
      <c r="FJ24" s="57">
        <f t="shared" si="89"/>
        <v>47.78999999999999</v>
      </c>
      <c r="FK24" s="57">
        <f t="shared" si="89"/>
        <v>66.13</v>
      </c>
      <c r="FL24" s="57">
        <f t="shared" si="89"/>
        <v>63.5</v>
      </c>
      <c r="FM24" s="57">
        <f t="shared" si="89"/>
        <v>62.120000000000005</v>
      </c>
      <c r="FN24" s="57">
        <f t="shared" si="89"/>
        <v>44.97</v>
      </c>
      <c r="FO24" s="57">
        <f t="shared" si="89"/>
        <v>78.88999999999999</v>
      </c>
      <c r="FP24" s="79">
        <f t="shared" si="89"/>
        <v>659.0699999999999</v>
      </c>
      <c r="FQ24" s="57">
        <f>SUM(FQ18:FQ23)</f>
        <v>27.429999999999996</v>
      </c>
      <c r="FR24" s="57">
        <f aca="true" t="shared" si="90" ref="FR24:GC24">SUM(FR18:FR23)</f>
        <v>23.170000000000005</v>
      </c>
      <c r="FS24" s="57">
        <f t="shared" si="90"/>
        <v>37.32</v>
      </c>
      <c r="FT24" s="57">
        <f t="shared" si="90"/>
        <v>41.68</v>
      </c>
      <c r="FU24" s="57">
        <f t="shared" si="90"/>
        <v>37.48</v>
      </c>
      <c r="FV24" s="57">
        <f t="shared" si="90"/>
        <v>42.21</v>
      </c>
      <c r="FW24" s="57">
        <f t="shared" si="90"/>
        <v>53.17999999999999</v>
      </c>
      <c r="FX24" s="57">
        <f t="shared" si="90"/>
        <v>53.3</v>
      </c>
      <c r="FY24" s="57">
        <f t="shared" si="90"/>
        <v>55.71999999999999</v>
      </c>
      <c r="FZ24" s="57">
        <f t="shared" si="90"/>
        <v>44.64000000000001</v>
      </c>
      <c r="GA24" s="57">
        <f t="shared" si="90"/>
        <v>34.36</v>
      </c>
      <c r="GB24" s="57">
        <f t="shared" si="90"/>
        <v>56.12</v>
      </c>
      <c r="GC24" s="79">
        <f t="shared" si="90"/>
        <v>506.61</v>
      </c>
      <c r="GD24" s="57">
        <f>SUM(GD18:GD23)</f>
        <v>28.12</v>
      </c>
      <c r="GE24" s="57">
        <f aca="true" t="shared" si="91" ref="GE24:GP24">SUM(GE18:GE23)</f>
        <v>29.580000000000002</v>
      </c>
      <c r="GF24" s="57">
        <f t="shared" si="91"/>
        <v>39.61</v>
      </c>
      <c r="GG24" s="57">
        <f t="shared" si="91"/>
        <v>36.62</v>
      </c>
      <c r="GH24" s="57">
        <f t="shared" si="91"/>
        <v>38.78999999999999</v>
      </c>
      <c r="GI24" s="57">
        <f t="shared" si="91"/>
        <v>39.36</v>
      </c>
      <c r="GJ24" s="57">
        <f t="shared" si="91"/>
        <v>42.940000000000005</v>
      </c>
      <c r="GK24" s="57">
        <f t="shared" si="91"/>
        <v>51.42000000000001</v>
      </c>
      <c r="GL24" s="57">
        <f t="shared" si="91"/>
        <v>53.45</v>
      </c>
      <c r="GM24" s="57">
        <f t="shared" si="91"/>
        <v>39.92</v>
      </c>
      <c r="GN24" s="57">
        <f t="shared" si="91"/>
        <v>40.120000000000005</v>
      </c>
      <c r="GO24" s="57">
        <f t="shared" si="91"/>
        <v>39.98</v>
      </c>
      <c r="GP24" s="79">
        <f t="shared" si="91"/>
        <v>479.9100000000001</v>
      </c>
      <c r="GQ24" s="57">
        <f>SUM(GQ18:GQ23)</f>
        <v>29.929999999999996</v>
      </c>
      <c r="GR24" s="57">
        <f aca="true" t="shared" si="92" ref="GR24:HC24">SUM(GR18:GR23)</f>
        <v>33.050000000000004</v>
      </c>
      <c r="GS24" s="57">
        <f t="shared" si="92"/>
        <v>49.669999999999995</v>
      </c>
      <c r="GT24" s="57">
        <f t="shared" si="92"/>
        <v>18.700000000000003</v>
      </c>
      <c r="GU24" s="57">
        <f t="shared" si="92"/>
        <v>32.099999999999994</v>
      </c>
      <c r="GV24" s="57">
        <f t="shared" si="92"/>
        <v>29.370000000000005</v>
      </c>
      <c r="GW24" s="57">
        <f t="shared" si="92"/>
        <v>39.12</v>
      </c>
      <c r="GX24" s="57">
        <f t="shared" si="92"/>
        <v>43.19</v>
      </c>
      <c r="GY24" s="57">
        <f t="shared" si="92"/>
        <v>35.199999999999996</v>
      </c>
      <c r="GZ24" s="57">
        <f t="shared" si="92"/>
        <v>34.1</v>
      </c>
      <c r="HA24" s="57">
        <f t="shared" si="92"/>
        <v>28.23</v>
      </c>
      <c r="HB24" s="57">
        <f t="shared" si="92"/>
        <v>28.230000000000004</v>
      </c>
      <c r="HC24" s="79">
        <f t="shared" si="92"/>
        <v>400.89</v>
      </c>
      <c r="HD24" s="57">
        <f>SUM(HD18:HD23)</f>
        <v>24.8</v>
      </c>
      <c r="HE24" s="57">
        <f aca="true" t="shared" si="93" ref="HE24:HP24">SUM(HE18:HE23)</f>
        <v>25.06</v>
      </c>
      <c r="HF24" s="57">
        <f t="shared" si="93"/>
        <v>31.669999999999995</v>
      </c>
      <c r="HG24" s="57">
        <f t="shared" si="93"/>
        <v>30.080000000000002</v>
      </c>
      <c r="HH24" s="57">
        <f t="shared" si="93"/>
        <v>32.86</v>
      </c>
      <c r="HI24" s="57">
        <f t="shared" si="93"/>
        <v>30.340000000000003</v>
      </c>
      <c r="HJ24" s="57">
        <f t="shared" si="93"/>
        <v>37.15</v>
      </c>
      <c r="HK24" s="57">
        <f t="shared" si="93"/>
        <v>35.650000000000006</v>
      </c>
      <c r="HL24" s="57">
        <f t="shared" si="93"/>
        <v>37.959999999999994</v>
      </c>
      <c r="HM24" s="57">
        <f t="shared" si="93"/>
        <v>32.370000000000005</v>
      </c>
      <c r="HN24" s="57">
        <f t="shared" si="93"/>
        <v>32.66</v>
      </c>
      <c r="HO24" s="57">
        <f t="shared" si="93"/>
        <v>29.889999999999997</v>
      </c>
      <c r="HP24" s="79">
        <f t="shared" si="93"/>
        <v>380.49000000000007</v>
      </c>
      <c r="HQ24" s="57">
        <f>SUM(HQ18:HQ23)</f>
        <v>30.69</v>
      </c>
      <c r="HR24" s="57">
        <f aca="true" t="shared" si="94" ref="HR24:IC24">SUM(HR18:HR23)</f>
        <v>32.339999999999996</v>
      </c>
      <c r="HS24" s="57">
        <f t="shared" si="94"/>
        <v>30.54</v>
      </c>
      <c r="HT24" s="57">
        <f t="shared" si="94"/>
        <v>40.460000000000015</v>
      </c>
      <c r="HU24" s="57">
        <f t="shared" si="94"/>
        <v>45.53</v>
      </c>
      <c r="HV24" s="57">
        <f t="shared" si="94"/>
        <v>32.029999999999994</v>
      </c>
      <c r="HW24" s="57">
        <f t="shared" si="94"/>
        <v>32.48</v>
      </c>
      <c r="HX24" s="57">
        <f t="shared" si="94"/>
        <v>28.76</v>
      </c>
      <c r="HY24" s="57">
        <f t="shared" si="94"/>
        <v>54.12</v>
      </c>
      <c r="HZ24" s="57">
        <f t="shared" si="94"/>
        <v>30.18</v>
      </c>
      <c r="IA24" s="57">
        <f t="shared" si="94"/>
        <v>19.69</v>
      </c>
      <c r="IB24" s="57">
        <f t="shared" si="94"/>
        <v>24.650000000000002</v>
      </c>
      <c r="IC24" s="79">
        <f t="shared" si="94"/>
        <v>401.46999999999997</v>
      </c>
    </row>
    <row r="25" spans="1:237" s="1" customFormat="1" ht="30" customHeight="1" thickBot="1">
      <c r="A25" s="103" t="s">
        <v>12</v>
      </c>
      <c r="B25" s="104"/>
      <c r="C25" s="104"/>
      <c r="D25" s="13">
        <f>D10+D17</f>
        <v>1582.425</v>
      </c>
      <c r="E25" s="13">
        <f>E10+E17</f>
        <v>227.349</v>
      </c>
      <c r="F25" s="13">
        <f aca="true" t="shared" si="95" ref="F25:BP25">F10+F17</f>
        <v>544.1800000000001</v>
      </c>
      <c r="G25" s="13">
        <f t="shared" si="95"/>
        <v>851.9760000000001</v>
      </c>
      <c r="H25" s="13">
        <f t="shared" si="95"/>
        <v>854.506</v>
      </c>
      <c r="I25" s="13">
        <f t="shared" si="95"/>
        <v>935.5369999999999</v>
      </c>
      <c r="J25" s="13">
        <f t="shared" si="95"/>
        <v>981.797</v>
      </c>
      <c r="K25" s="13">
        <f t="shared" si="95"/>
        <v>919.5060000000001</v>
      </c>
      <c r="L25" s="13">
        <f t="shared" si="95"/>
        <v>784.455</v>
      </c>
      <c r="M25" s="13">
        <f t="shared" si="95"/>
        <v>885.468</v>
      </c>
      <c r="N25" s="13">
        <f t="shared" si="95"/>
        <v>623.136</v>
      </c>
      <c r="O25" s="13">
        <f t="shared" si="95"/>
        <v>763.192</v>
      </c>
      <c r="P25" s="70">
        <f t="shared" si="95"/>
        <v>9953.527</v>
      </c>
      <c r="Q25" s="37">
        <f t="shared" si="95"/>
        <v>877.419</v>
      </c>
      <c r="R25" s="37">
        <f t="shared" si="95"/>
        <v>607.062</v>
      </c>
      <c r="S25" s="37">
        <f t="shared" si="95"/>
        <v>696.1289999999999</v>
      </c>
      <c r="T25" s="37">
        <f t="shared" si="95"/>
        <v>709.7349999999999</v>
      </c>
      <c r="U25" s="37">
        <f t="shared" si="95"/>
        <v>804.458</v>
      </c>
      <c r="V25" s="37">
        <f t="shared" si="95"/>
        <v>764.5250000000001</v>
      </c>
      <c r="W25" s="37">
        <f t="shared" si="95"/>
        <v>914.763</v>
      </c>
      <c r="X25" s="37">
        <f t="shared" si="95"/>
        <v>891.7549999999999</v>
      </c>
      <c r="Y25" s="37">
        <f t="shared" si="95"/>
        <v>794.641</v>
      </c>
      <c r="Z25" s="37">
        <f t="shared" si="95"/>
        <v>810.3170000000001</v>
      </c>
      <c r="AA25" s="37">
        <f t="shared" si="95"/>
        <v>586.71</v>
      </c>
      <c r="AB25" s="37">
        <f t="shared" si="95"/>
        <v>956.9169999999999</v>
      </c>
      <c r="AC25" s="85">
        <f t="shared" si="95"/>
        <v>9414.431</v>
      </c>
      <c r="AD25" s="57">
        <f t="shared" si="95"/>
        <v>716.8729999999999</v>
      </c>
      <c r="AE25" s="57">
        <f t="shared" si="95"/>
        <v>542.453</v>
      </c>
      <c r="AF25" s="57">
        <f t="shared" si="95"/>
        <v>784.931</v>
      </c>
      <c r="AG25" s="57">
        <f t="shared" si="95"/>
        <v>772.8720000000001</v>
      </c>
      <c r="AH25" s="57">
        <f t="shared" si="95"/>
        <v>787.2209999999999</v>
      </c>
      <c r="AI25" s="57">
        <f t="shared" si="95"/>
        <v>729.375</v>
      </c>
      <c r="AJ25" s="57">
        <f t="shared" si="95"/>
        <v>747.5239999999999</v>
      </c>
      <c r="AK25" s="57">
        <f t="shared" si="95"/>
        <v>893.4070000000002</v>
      </c>
      <c r="AL25" s="57">
        <f t="shared" si="95"/>
        <v>767.6129999999999</v>
      </c>
      <c r="AM25" s="57">
        <f t="shared" si="95"/>
        <v>600.677</v>
      </c>
      <c r="AN25" s="57">
        <f t="shared" si="95"/>
        <v>623.586</v>
      </c>
      <c r="AO25" s="57">
        <f t="shared" si="95"/>
        <v>726.382</v>
      </c>
      <c r="AP25" s="79">
        <f t="shared" si="95"/>
        <v>8692.914</v>
      </c>
      <c r="AQ25" s="57">
        <f t="shared" si="95"/>
        <v>478.56100000000004</v>
      </c>
      <c r="AR25" s="57">
        <f t="shared" si="95"/>
        <v>429.892</v>
      </c>
      <c r="AS25" s="57">
        <f t="shared" si="95"/>
        <v>587.4350000000001</v>
      </c>
      <c r="AT25" s="57">
        <f t="shared" si="95"/>
        <v>644.44</v>
      </c>
      <c r="AU25" s="57">
        <f t="shared" si="95"/>
        <v>629.141</v>
      </c>
      <c r="AV25" s="57">
        <f t="shared" si="95"/>
        <v>685.3069999999999</v>
      </c>
      <c r="AW25" s="57">
        <f t="shared" si="95"/>
        <v>707.9110000000001</v>
      </c>
      <c r="AX25" s="57">
        <f t="shared" si="95"/>
        <v>812.617</v>
      </c>
      <c r="AY25" s="57">
        <f t="shared" si="95"/>
        <v>741.251</v>
      </c>
      <c r="AZ25" s="57">
        <f t="shared" si="95"/>
        <v>666.114</v>
      </c>
      <c r="BA25" s="57">
        <f t="shared" si="95"/>
        <v>654.47</v>
      </c>
      <c r="BB25" s="57">
        <f t="shared" si="95"/>
        <v>589.8000000000001</v>
      </c>
      <c r="BC25" s="79">
        <f t="shared" si="95"/>
        <v>7626.938999999999</v>
      </c>
      <c r="BD25" s="57">
        <f t="shared" si="95"/>
        <v>470.989</v>
      </c>
      <c r="BE25" s="57">
        <f t="shared" si="95"/>
        <v>519.591</v>
      </c>
      <c r="BF25" s="57">
        <f t="shared" si="95"/>
        <v>608.5380000000001</v>
      </c>
      <c r="BG25" s="57">
        <f t="shared" si="95"/>
        <v>537.566</v>
      </c>
      <c r="BH25" s="57">
        <f t="shared" si="95"/>
        <v>676.508</v>
      </c>
      <c r="BI25" s="57">
        <f t="shared" si="95"/>
        <v>677.8489999999999</v>
      </c>
      <c r="BJ25" s="57">
        <f t="shared" si="95"/>
        <v>589.415</v>
      </c>
      <c r="BK25" s="57">
        <f t="shared" si="95"/>
        <v>728.6120000000001</v>
      </c>
      <c r="BL25" s="57">
        <f t="shared" si="95"/>
        <v>571.836</v>
      </c>
      <c r="BM25" s="57">
        <f t="shared" si="95"/>
        <v>552.1669999999999</v>
      </c>
      <c r="BN25" s="57">
        <f t="shared" si="95"/>
        <v>660.319</v>
      </c>
      <c r="BO25" s="57">
        <f t="shared" si="95"/>
        <v>661.183</v>
      </c>
      <c r="BP25" s="79">
        <f t="shared" si="95"/>
        <v>7254.573</v>
      </c>
      <c r="BQ25" s="57">
        <f aca="true" t="shared" si="96" ref="BQ25:EB25">BQ10+BQ17</f>
        <v>504.4369999999999</v>
      </c>
      <c r="BR25" s="57">
        <f t="shared" si="96"/>
        <v>502.56</v>
      </c>
      <c r="BS25" s="57">
        <f t="shared" si="96"/>
        <v>635.42</v>
      </c>
      <c r="BT25" s="57">
        <f t="shared" si="96"/>
        <v>628.27</v>
      </c>
      <c r="BU25" s="57">
        <f t="shared" si="96"/>
        <v>733.8</v>
      </c>
      <c r="BV25" s="57">
        <f t="shared" si="96"/>
        <v>711.4499999999999</v>
      </c>
      <c r="BW25" s="57">
        <f t="shared" si="96"/>
        <v>713.64</v>
      </c>
      <c r="BX25" s="57">
        <f t="shared" si="96"/>
        <v>827.29</v>
      </c>
      <c r="BY25" s="57">
        <f t="shared" si="96"/>
        <v>593.87</v>
      </c>
      <c r="BZ25" s="57">
        <f t="shared" si="96"/>
        <v>810.737</v>
      </c>
      <c r="CA25" s="57">
        <f t="shared" si="96"/>
        <v>788.6499999999999</v>
      </c>
      <c r="CB25" s="57">
        <f t="shared" si="96"/>
        <v>719.8919999999999</v>
      </c>
      <c r="CC25" s="79">
        <f t="shared" si="96"/>
        <v>8170.015999999998</v>
      </c>
      <c r="CD25" s="57">
        <f t="shared" si="96"/>
        <v>687.8919999999999</v>
      </c>
      <c r="CE25" s="57">
        <f t="shared" si="96"/>
        <v>672.13</v>
      </c>
      <c r="CF25" s="57">
        <f t="shared" si="96"/>
        <v>708.4200000000001</v>
      </c>
      <c r="CG25" s="57">
        <f t="shared" si="96"/>
        <v>774.8199999999999</v>
      </c>
      <c r="CH25" s="57">
        <f t="shared" si="96"/>
        <v>849.94</v>
      </c>
      <c r="CI25" s="57">
        <f t="shared" si="96"/>
        <v>765.28</v>
      </c>
      <c r="CJ25" s="57">
        <f t="shared" si="96"/>
        <v>863.7300000000001</v>
      </c>
      <c r="CK25" s="57">
        <f t="shared" si="96"/>
        <v>895.1600000000001</v>
      </c>
      <c r="CL25" s="57">
        <f t="shared" si="96"/>
        <v>839.63</v>
      </c>
      <c r="CM25" s="57">
        <f t="shared" si="96"/>
        <v>850.66</v>
      </c>
      <c r="CN25" s="58">
        <f t="shared" si="96"/>
        <v>0</v>
      </c>
      <c r="CO25" s="57">
        <f t="shared" si="96"/>
        <v>942.1500000000001</v>
      </c>
      <c r="CP25" s="79">
        <f t="shared" si="96"/>
        <v>8849.812000000002</v>
      </c>
      <c r="CQ25" s="57">
        <f t="shared" si="96"/>
        <v>802.1500000000001</v>
      </c>
      <c r="CR25" s="57">
        <f t="shared" si="96"/>
        <v>681.0999999999999</v>
      </c>
      <c r="CS25" s="57">
        <f t="shared" si="96"/>
        <v>754.07</v>
      </c>
      <c r="CT25" s="57">
        <f t="shared" si="96"/>
        <v>1131.44</v>
      </c>
      <c r="CU25" s="57">
        <f t="shared" si="96"/>
        <v>854.69</v>
      </c>
      <c r="CV25" s="57">
        <f t="shared" si="96"/>
        <v>826.64</v>
      </c>
      <c r="CW25" s="57">
        <f t="shared" si="96"/>
        <v>1006.5</v>
      </c>
      <c r="CX25" s="57">
        <f t="shared" si="96"/>
        <v>890.59</v>
      </c>
      <c r="CY25" s="57">
        <f t="shared" si="96"/>
        <v>907.39</v>
      </c>
      <c r="CZ25" s="57">
        <f t="shared" si="96"/>
        <v>985.99</v>
      </c>
      <c r="DA25" s="57">
        <f t="shared" si="96"/>
        <v>899.75</v>
      </c>
      <c r="DB25" s="57">
        <f t="shared" si="96"/>
        <v>1171.28</v>
      </c>
      <c r="DC25" s="79">
        <f t="shared" si="96"/>
        <v>10911.59</v>
      </c>
      <c r="DD25" s="57">
        <f t="shared" si="96"/>
        <v>1010.14</v>
      </c>
      <c r="DE25" s="57">
        <f t="shared" si="96"/>
        <v>810.54</v>
      </c>
      <c r="DF25" s="57">
        <f t="shared" si="96"/>
        <v>1111.82</v>
      </c>
      <c r="DG25" s="57">
        <f t="shared" si="96"/>
        <v>1028.12</v>
      </c>
      <c r="DH25" s="57">
        <f t="shared" si="96"/>
        <v>1149.6499999999999</v>
      </c>
      <c r="DI25" s="57">
        <f t="shared" si="96"/>
        <v>1204.92</v>
      </c>
      <c r="DJ25" s="57">
        <f t="shared" si="96"/>
        <v>1114.54</v>
      </c>
      <c r="DK25" s="57">
        <f t="shared" si="96"/>
        <v>1028.35</v>
      </c>
      <c r="DL25" s="57">
        <f t="shared" si="96"/>
        <v>1023.8900000000001</v>
      </c>
      <c r="DM25" s="57">
        <f t="shared" si="96"/>
        <v>1075.58</v>
      </c>
      <c r="DN25" s="57">
        <f t="shared" si="96"/>
        <v>1045.05</v>
      </c>
      <c r="DO25" s="57">
        <f t="shared" si="96"/>
        <v>1069.31</v>
      </c>
      <c r="DP25" s="79">
        <f t="shared" si="96"/>
        <v>12671.91</v>
      </c>
      <c r="DQ25" s="57">
        <f t="shared" si="96"/>
        <v>962.1199999999999</v>
      </c>
      <c r="DR25" s="57">
        <f t="shared" si="96"/>
        <v>960.1700000000001</v>
      </c>
      <c r="DS25" s="57">
        <f t="shared" si="96"/>
        <v>1124.44</v>
      </c>
      <c r="DT25" s="57">
        <f t="shared" si="96"/>
        <v>1094.93</v>
      </c>
      <c r="DU25" s="57">
        <f t="shared" si="96"/>
        <v>1181.64</v>
      </c>
      <c r="DV25" s="57">
        <f t="shared" si="96"/>
        <v>1256.33</v>
      </c>
      <c r="DW25" s="57">
        <f t="shared" si="96"/>
        <v>1311.5500000000002</v>
      </c>
      <c r="DX25" s="57">
        <f t="shared" si="96"/>
        <v>1383.62</v>
      </c>
      <c r="DY25" s="57">
        <f t="shared" si="96"/>
        <v>1874.4</v>
      </c>
      <c r="DZ25" s="57">
        <f t="shared" si="96"/>
        <v>1144.45</v>
      </c>
      <c r="EA25" s="57">
        <f t="shared" si="96"/>
        <v>1275.3899999999999</v>
      </c>
      <c r="EB25" s="57">
        <f t="shared" si="96"/>
        <v>1235.34</v>
      </c>
      <c r="EC25" s="79">
        <f aca="true" t="shared" si="97" ref="EC25:GN25">EC10+EC17</f>
        <v>14804.379999999997</v>
      </c>
      <c r="ED25" s="57">
        <f t="shared" si="97"/>
        <v>1153.68</v>
      </c>
      <c r="EE25" s="57">
        <f t="shared" si="97"/>
        <v>1226.42</v>
      </c>
      <c r="EF25" s="57">
        <f t="shared" si="97"/>
        <v>1254.3300000000002</v>
      </c>
      <c r="EG25" s="57">
        <f t="shared" si="97"/>
        <v>1435.45</v>
      </c>
      <c r="EH25" s="57">
        <f t="shared" si="97"/>
        <v>1568.97</v>
      </c>
      <c r="EI25" s="57">
        <f t="shared" si="97"/>
        <v>1621.9199999999998</v>
      </c>
      <c r="EJ25" s="57">
        <f t="shared" si="97"/>
        <v>2002.7900000000002</v>
      </c>
      <c r="EK25" s="57">
        <f t="shared" si="97"/>
        <v>1250.83</v>
      </c>
      <c r="EL25" s="57">
        <f t="shared" si="97"/>
        <v>1845.42</v>
      </c>
      <c r="EM25" s="57">
        <f t="shared" si="97"/>
        <v>1835.9699999999998</v>
      </c>
      <c r="EN25" s="57">
        <f t="shared" si="97"/>
        <v>1409.54</v>
      </c>
      <c r="EO25" s="57">
        <f t="shared" si="97"/>
        <v>1248.1299999999999</v>
      </c>
      <c r="EP25" s="79">
        <f t="shared" si="97"/>
        <v>17853.45</v>
      </c>
      <c r="EQ25" s="57">
        <f t="shared" si="97"/>
        <v>1059</v>
      </c>
      <c r="ER25" s="57">
        <f t="shared" si="97"/>
        <v>1285.48</v>
      </c>
      <c r="ES25" s="57">
        <f t="shared" si="97"/>
        <v>1160.1</v>
      </c>
      <c r="ET25" s="57">
        <f t="shared" si="97"/>
        <v>1033.28</v>
      </c>
      <c r="EU25" s="57">
        <f t="shared" si="97"/>
        <v>1248.3000000000002</v>
      </c>
      <c r="EV25" s="57">
        <f t="shared" si="97"/>
        <v>1127.71</v>
      </c>
      <c r="EW25" s="57">
        <f t="shared" si="97"/>
        <v>1349.6799999999998</v>
      </c>
      <c r="EX25" s="57">
        <f t="shared" si="97"/>
        <v>1495.72</v>
      </c>
      <c r="EY25" s="57">
        <f t="shared" si="97"/>
        <v>1051.63</v>
      </c>
      <c r="EZ25" s="57">
        <f t="shared" si="97"/>
        <v>1628.96</v>
      </c>
      <c r="FA25" s="57">
        <f t="shared" si="97"/>
        <v>989.6800000000001</v>
      </c>
      <c r="FB25" s="57">
        <f t="shared" si="97"/>
        <v>1136.96</v>
      </c>
      <c r="FC25" s="79">
        <f t="shared" si="97"/>
        <v>14566.500000000002</v>
      </c>
      <c r="FD25" s="57">
        <f t="shared" si="97"/>
        <v>1178.72</v>
      </c>
      <c r="FE25" s="57">
        <f t="shared" si="97"/>
        <v>1215.82</v>
      </c>
      <c r="FF25" s="57">
        <f t="shared" si="97"/>
        <v>944.62</v>
      </c>
      <c r="FG25" s="57">
        <f t="shared" si="97"/>
        <v>1144.31</v>
      </c>
      <c r="FH25" s="57">
        <f t="shared" si="97"/>
        <v>1323.43</v>
      </c>
      <c r="FI25" s="57">
        <f t="shared" si="97"/>
        <v>901.9</v>
      </c>
      <c r="FJ25" s="57">
        <f t="shared" si="97"/>
        <v>1092.24</v>
      </c>
      <c r="FK25" s="57">
        <f t="shared" si="97"/>
        <v>1478.2199999999998</v>
      </c>
      <c r="FL25" s="57">
        <f t="shared" si="97"/>
        <v>1371.5900000000001</v>
      </c>
      <c r="FM25" s="57">
        <f t="shared" si="97"/>
        <v>1392.55</v>
      </c>
      <c r="FN25" s="57">
        <f t="shared" si="97"/>
        <v>1043.39</v>
      </c>
      <c r="FO25" s="57">
        <f t="shared" si="97"/>
        <v>1526.33</v>
      </c>
      <c r="FP25" s="79">
        <f t="shared" si="97"/>
        <v>14613.119999999999</v>
      </c>
      <c r="FQ25" s="57">
        <f t="shared" si="97"/>
        <v>651.28</v>
      </c>
      <c r="FR25" s="57">
        <f t="shared" si="97"/>
        <v>600.13</v>
      </c>
      <c r="FS25" s="57">
        <f t="shared" si="97"/>
        <v>837.81</v>
      </c>
      <c r="FT25" s="57">
        <f t="shared" si="97"/>
        <v>957.69</v>
      </c>
      <c r="FU25" s="57">
        <f t="shared" si="97"/>
        <v>858.94</v>
      </c>
      <c r="FV25" s="57">
        <f t="shared" si="97"/>
        <v>949.95</v>
      </c>
      <c r="FW25" s="57">
        <f t="shared" si="97"/>
        <v>1042.3</v>
      </c>
      <c r="FX25" s="57">
        <f t="shared" si="97"/>
        <v>1217.99</v>
      </c>
      <c r="FY25" s="57">
        <f t="shared" si="97"/>
        <v>1396.61</v>
      </c>
      <c r="FZ25" s="57">
        <f t="shared" si="97"/>
        <v>1119.26</v>
      </c>
      <c r="GA25" s="57">
        <f t="shared" si="97"/>
        <v>906.3299999999999</v>
      </c>
      <c r="GB25" s="57">
        <f t="shared" si="97"/>
        <v>1199.77</v>
      </c>
      <c r="GC25" s="79">
        <f t="shared" si="97"/>
        <v>11738.06</v>
      </c>
      <c r="GD25" s="57">
        <f t="shared" si="97"/>
        <v>794.45</v>
      </c>
      <c r="GE25" s="57">
        <f t="shared" si="97"/>
        <v>910.63</v>
      </c>
      <c r="GF25" s="57">
        <f t="shared" si="97"/>
        <v>1198.46</v>
      </c>
      <c r="GG25" s="57">
        <f t="shared" si="97"/>
        <v>972.3</v>
      </c>
      <c r="GH25" s="57">
        <f t="shared" si="97"/>
        <v>1021.8700000000001</v>
      </c>
      <c r="GI25" s="57">
        <f t="shared" si="97"/>
        <v>1042.98</v>
      </c>
      <c r="GJ25" s="57">
        <f t="shared" si="97"/>
        <v>1068.88</v>
      </c>
      <c r="GK25" s="57">
        <f t="shared" si="97"/>
        <v>1345.05</v>
      </c>
      <c r="GL25" s="57">
        <f t="shared" si="97"/>
        <v>1262.49</v>
      </c>
      <c r="GM25" s="57">
        <f t="shared" si="97"/>
        <v>1070.92</v>
      </c>
      <c r="GN25" s="57">
        <f t="shared" si="97"/>
        <v>1126.07</v>
      </c>
      <c r="GO25" s="57">
        <f aca="true" t="shared" si="98" ref="GO25:IC25">GO10+GO17</f>
        <v>1088.29</v>
      </c>
      <c r="GP25" s="79">
        <f t="shared" si="98"/>
        <v>12902.39</v>
      </c>
      <c r="GQ25" s="57">
        <f t="shared" si="98"/>
        <v>955.53</v>
      </c>
      <c r="GR25" s="57">
        <f t="shared" si="98"/>
        <v>929.61</v>
      </c>
      <c r="GS25" s="57">
        <f t="shared" si="98"/>
        <v>1327.05</v>
      </c>
      <c r="GT25" s="57">
        <f t="shared" si="98"/>
        <v>734</v>
      </c>
      <c r="GU25" s="57">
        <f t="shared" si="98"/>
        <v>1006.17</v>
      </c>
      <c r="GV25" s="57">
        <f t="shared" si="98"/>
        <v>913.61</v>
      </c>
      <c r="GW25" s="57">
        <f t="shared" si="98"/>
        <v>1164.05</v>
      </c>
      <c r="GX25" s="57">
        <f t="shared" si="98"/>
        <v>1180.99</v>
      </c>
      <c r="GY25" s="57">
        <f t="shared" si="98"/>
        <v>1040.52</v>
      </c>
      <c r="GZ25" s="57">
        <f t="shared" si="98"/>
        <v>1087.24</v>
      </c>
      <c r="HA25" s="57">
        <f t="shared" si="98"/>
        <v>933.9200000000001</v>
      </c>
      <c r="HB25" s="57">
        <f t="shared" si="98"/>
        <v>969.75</v>
      </c>
      <c r="HC25" s="79">
        <f t="shared" si="98"/>
        <v>12242.44</v>
      </c>
      <c r="HD25" s="57">
        <f t="shared" si="98"/>
        <v>907.23</v>
      </c>
      <c r="HE25" s="57">
        <f t="shared" si="98"/>
        <v>866.1199999999999</v>
      </c>
      <c r="HF25" s="57">
        <f t="shared" si="98"/>
        <v>986.61</v>
      </c>
      <c r="HG25" s="57">
        <f t="shared" si="98"/>
        <v>1028.77</v>
      </c>
      <c r="HH25" s="57">
        <f t="shared" si="98"/>
        <v>1079.8600000000001</v>
      </c>
      <c r="HI25" s="57">
        <f t="shared" si="98"/>
        <v>912.21</v>
      </c>
      <c r="HJ25" s="57">
        <f t="shared" si="98"/>
        <v>1202.31</v>
      </c>
      <c r="HK25" s="57">
        <f t="shared" si="98"/>
        <v>1244.6</v>
      </c>
      <c r="HL25" s="57">
        <f t="shared" si="98"/>
        <v>1229.56</v>
      </c>
      <c r="HM25" s="57">
        <f t="shared" si="98"/>
        <v>1378.87</v>
      </c>
      <c r="HN25" s="57">
        <f t="shared" si="98"/>
        <v>1136.9499999999998</v>
      </c>
      <c r="HO25" s="57">
        <f t="shared" si="98"/>
        <v>1046.78</v>
      </c>
      <c r="HP25" s="79">
        <f t="shared" si="98"/>
        <v>13019.87</v>
      </c>
      <c r="HQ25" s="57">
        <f t="shared" si="98"/>
        <v>1078.63</v>
      </c>
      <c r="HR25" s="57">
        <f t="shared" si="98"/>
        <v>1069.89</v>
      </c>
      <c r="HS25" s="57">
        <f t="shared" si="98"/>
        <v>1008.31</v>
      </c>
      <c r="HT25" s="57">
        <f t="shared" si="98"/>
        <v>1240.86</v>
      </c>
      <c r="HU25" s="57">
        <f t="shared" si="98"/>
        <v>1493.17</v>
      </c>
      <c r="HV25" s="57">
        <f t="shared" si="98"/>
        <v>1074.08</v>
      </c>
      <c r="HW25" s="57">
        <f t="shared" si="98"/>
        <v>1236.13</v>
      </c>
      <c r="HX25" s="57">
        <f t="shared" si="98"/>
        <v>1022.12</v>
      </c>
      <c r="HY25" s="57">
        <f t="shared" si="98"/>
        <v>1593.44</v>
      </c>
      <c r="HZ25" s="57">
        <f t="shared" si="98"/>
        <v>1128.08</v>
      </c>
      <c r="IA25" s="57">
        <f t="shared" si="98"/>
        <v>954.95</v>
      </c>
      <c r="IB25" s="57">
        <f t="shared" si="98"/>
        <v>1002.08</v>
      </c>
      <c r="IC25" s="79">
        <f t="shared" si="98"/>
        <v>13901.740000000002</v>
      </c>
    </row>
    <row r="26" spans="1:237" s="1" customFormat="1" ht="30" customHeight="1" thickBot="1">
      <c r="A26" s="103" t="s">
        <v>13</v>
      </c>
      <c r="B26" s="104"/>
      <c r="C26" s="104"/>
      <c r="D26" s="13">
        <f>D13+D24</f>
        <v>64.830335</v>
      </c>
      <c r="E26" s="13">
        <f aca="true" t="shared" si="99" ref="E26:BP26">E13+E24</f>
        <v>8.199772</v>
      </c>
      <c r="F26" s="13">
        <f t="shared" si="99"/>
        <v>187.701955</v>
      </c>
      <c r="G26" s="13">
        <f t="shared" si="99"/>
        <v>31.550309000000002</v>
      </c>
      <c r="H26" s="13">
        <f t="shared" si="99"/>
        <v>28.227182</v>
      </c>
      <c r="I26" s="13">
        <f t="shared" si="99"/>
        <v>30.668885</v>
      </c>
      <c r="J26" s="13">
        <f t="shared" si="99"/>
        <v>34.667904</v>
      </c>
      <c r="K26" s="13">
        <f t="shared" si="99"/>
        <v>33.079778999999995</v>
      </c>
      <c r="L26" s="13">
        <f t="shared" si="99"/>
        <v>28.885717</v>
      </c>
      <c r="M26" s="13">
        <f t="shared" si="99"/>
        <v>32.177431</v>
      </c>
      <c r="N26" s="13">
        <f t="shared" si="99"/>
        <v>36.323901427500005</v>
      </c>
      <c r="O26" s="13">
        <f t="shared" si="99"/>
        <v>27.831280999999997</v>
      </c>
      <c r="P26" s="70">
        <f t="shared" si="99"/>
        <v>483.52620842749997</v>
      </c>
      <c r="Q26" s="37">
        <f t="shared" si="99"/>
        <v>29.116948999999998</v>
      </c>
      <c r="R26" s="37">
        <f t="shared" si="99"/>
        <v>23.434729</v>
      </c>
      <c r="S26" s="37">
        <f t="shared" si="99"/>
        <v>26.819392999999998</v>
      </c>
      <c r="T26" s="37">
        <f t="shared" si="99"/>
        <v>25.664358</v>
      </c>
      <c r="U26" s="37">
        <f t="shared" si="99"/>
        <v>27.547501999999998</v>
      </c>
      <c r="V26" s="37">
        <f t="shared" si="99"/>
        <v>27.28613</v>
      </c>
      <c r="W26" s="37">
        <f t="shared" si="99"/>
        <v>33.759935</v>
      </c>
      <c r="X26" s="37">
        <f t="shared" si="99"/>
        <v>30.513607</v>
      </c>
      <c r="Y26" s="37">
        <f t="shared" si="99"/>
        <v>28.683881</v>
      </c>
      <c r="Z26" s="37">
        <f t="shared" si="99"/>
        <v>29.264771</v>
      </c>
      <c r="AA26" s="37">
        <f t="shared" si="99"/>
        <v>21.838032000000002</v>
      </c>
      <c r="AB26" s="37">
        <f t="shared" si="99"/>
        <v>32.004685</v>
      </c>
      <c r="AC26" s="85">
        <f t="shared" si="99"/>
        <v>32.733397</v>
      </c>
      <c r="AD26" s="57">
        <f t="shared" si="99"/>
        <v>24.984906</v>
      </c>
      <c r="AE26" s="57">
        <f t="shared" si="99"/>
        <v>20.553771</v>
      </c>
      <c r="AF26" s="57">
        <f t="shared" si="99"/>
        <v>28.088377</v>
      </c>
      <c r="AG26" s="57">
        <f t="shared" si="99"/>
        <v>28.921696</v>
      </c>
      <c r="AH26" s="57">
        <f t="shared" si="99"/>
        <v>27.758096</v>
      </c>
      <c r="AI26" s="57">
        <f t="shared" si="99"/>
        <v>27.88271</v>
      </c>
      <c r="AJ26" s="57">
        <f t="shared" si="99"/>
        <v>28.630583</v>
      </c>
      <c r="AK26" s="57">
        <f t="shared" si="99"/>
        <v>32.294858000000005</v>
      </c>
      <c r="AL26" s="57">
        <f t="shared" si="99"/>
        <v>30.439246</v>
      </c>
      <c r="AM26" s="57">
        <f t="shared" si="99"/>
        <v>23.384576</v>
      </c>
      <c r="AN26" s="57">
        <f t="shared" si="99"/>
        <v>25.783154</v>
      </c>
      <c r="AO26" s="57">
        <f t="shared" si="99"/>
        <v>29.717186</v>
      </c>
      <c r="AP26" s="79">
        <f t="shared" si="99"/>
        <v>31.866198000000004</v>
      </c>
      <c r="AQ26" s="57">
        <f t="shared" si="99"/>
        <v>20.179154999999998</v>
      </c>
      <c r="AR26" s="57">
        <f t="shared" si="99"/>
        <v>17.805771</v>
      </c>
      <c r="AS26" s="57">
        <f t="shared" si="99"/>
        <v>23.683745000000002</v>
      </c>
      <c r="AT26" s="57">
        <f t="shared" si="99"/>
        <v>25.468041</v>
      </c>
      <c r="AU26" s="57">
        <f t="shared" si="99"/>
        <v>24.561221</v>
      </c>
      <c r="AV26" s="57">
        <f t="shared" si="99"/>
        <v>26.489181000000002</v>
      </c>
      <c r="AW26" s="57">
        <f t="shared" si="99"/>
        <v>28.592098</v>
      </c>
      <c r="AX26" s="57">
        <f t="shared" si="99"/>
        <v>30.439040000000002</v>
      </c>
      <c r="AY26" s="57">
        <f t="shared" si="99"/>
        <v>29.117264</v>
      </c>
      <c r="AZ26" s="57">
        <f t="shared" si="99"/>
        <v>22.791945</v>
      </c>
      <c r="BA26" s="57">
        <f t="shared" si="99"/>
        <v>25.55600708</v>
      </c>
      <c r="BB26" s="57">
        <f t="shared" si="99"/>
        <v>35.631189</v>
      </c>
      <c r="BC26" s="79">
        <f t="shared" si="99"/>
        <v>24.60922545</v>
      </c>
      <c r="BD26" s="57">
        <f t="shared" si="99"/>
        <v>19.846824</v>
      </c>
      <c r="BE26" s="57">
        <f t="shared" si="99"/>
        <v>21.416589000000002</v>
      </c>
      <c r="BF26" s="57">
        <f t="shared" si="99"/>
        <v>3.33426</v>
      </c>
      <c r="BG26" s="57">
        <f t="shared" si="99"/>
        <v>22.341905999999998</v>
      </c>
      <c r="BH26" s="57">
        <f t="shared" si="99"/>
        <v>27.244468</v>
      </c>
      <c r="BI26" s="57">
        <f t="shared" si="99"/>
        <v>27.466853</v>
      </c>
      <c r="BJ26" s="57">
        <f t="shared" si="99"/>
        <v>25.024399</v>
      </c>
      <c r="BK26" s="57">
        <f t="shared" si="99"/>
        <v>30.85094</v>
      </c>
      <c r="BL26" s="57">
        <f t="shared" si="99"/>
        <v>22.434456</v>
      </c>
      <c r="BM26" s="57">
        <f t="shared" si="99"/>
        <v>23.234883999999997</v>
      </c>
      <c r="BN26" s="57">
        <f t="shared" si="99"/>
        <v>27.262782</v>
      </c>
      <c r="BO26" s="57">
        <f t="shared" si="99"/>
        <v>27.166150000000002</v>
      </c>
      <c r="BP26" s="79">
        <f t="shared" si="99"/>
        <v>19.167558</v>
      </c>
      <c r="BQ26" s="57">
        <f aca="true" t="shared" si="100" ref="BQ26:EB26">BQ13+BQ24</f>
        <v>21.061603</v>
      </c>
      <c r="BR26" s="57">
        <f t="shared" si="100"/>
        <v>21.339398000000003</v>
      </c>
      <c r="BS26" s="57">
        <f t="shared" si="100"/>
        <v>27.399817000000002</v>
      </c>
      <c r="BT26" s="57">
        <f t="shared" si="100"/>
        <v>25.74287</v>
      </c>
      <c r="BU26" s="57">
        <f t="shared" si="100"/>
        <v>29.529134000000003</v>
      </c>
      <c r="BV26" s="57">
        <f t="shared" si="100"/>
        <v>27.316933</v>
      </c>
      <c r="BW26" s="57">
        <f t="shared" si="100"/>
        <v>29.473753000000002</v>
      </c>
      <c r="BX26" s="57">
        <f t="shared" si="100"/>
        <v>32.647214</v>
      </c>
      <c r="BY26" s="57">
        <f t="shared" si="100"/>
        <v>24.672958</v>
      </c>
      <c r="BZ26" s="57">
        <f t="shared" si="100"/>
        <v>31.440248999999998</v>
      </c>
      <c r="CA26" s="57">
        <f t="shared" si="100"/>
        <v>32.10353</v>
      </c>
      <c r="CB26" s="57">
        <f t="shared" si="100"/>
        <v>27.206766</v>
      </c>
      <c r="CC26" s="79">
        <f t="shared" si="100"/>
        <v>21.409176</v>
      </c>
      <c r="CD26" s="57">
        <f t="shared" si="100"/>
        <v>1.316121</v>
      </c>
      <c r="CE26" s="57">
        <f t="shared" si="100"/>
        <v>1.81425</v>
      </c>
      <c r="CF26" s="57">
        <f t="shared" si="100"/>
        <v>1.302025</v>
      </c>
      <c r="CG26" s="57">
        <f t="shared" si="100"/>
        <v>1.108764</v>
      </c>
      <c r="CH26" s="57">
        <f t="shared" si="100"/>
        <v>2.009817</v>
      </c>
      <c r="CI26" s="57">
        <f t="shared" si="100"/>
        <v>0.579198</v>
      </c>
      <c r="CJ26" s="57">
        <f t="shared" si="100"/>
        <v>1.967985</v>
      </c>
      <c r="CK26" s="57">
        <f t="shared" si="100"/>
        <v>1.261018</v>
      </c>
      <c r="CL26" s="57">
        <f t="shared" si="100"/>
        <v>1.571898</v>
      </c>
      <c r="CM26" s="57">
        <f t="shared" si="100"/>
        <v>0.679103</v>
      </c>
      <c r="CN26" s="58">
        <f t="shared" si="100"/>
        <v>0</v>
      </c>
      <c r="CO26" s="57">
        <f t="shared" si="100"/>
        <v>0.7401340000000001</v>
      </c>
      <c r="CP26" s="79">
        <f t="shared" si="100"/>
        <v>14.350313</v>
      </c>
      <c r="CQ26" s="57">
        <f t="shared" si="100"/>
        <v>34.190000000000005</v>
      </c>
      <c r="CR26" s="57">
        <f t="shared" si="100"/>
        <v>28.78</v>
      </c>
      <c r="CS26" s="57">
        <f t="shared" si="100"/>
        <v>31.349999999999998</v>
      </c>
      <c r="CT26" s="57">
        <f t="shared" si="100"/>
        <v>47.720000000000006</v>
      </c>
      <c r="CU26" s="57">
        <f t="shared" si="100"/>
        <v>30.240000000000002</v>
      </c>
      <c r="CV26" s="57">
        <f t="shared" si="100"/>
        <v>36.35</v>
      </c>
      <c r="CW26" s="57">
        <f t="shared" si="100"/>
        <v>45.230000000000004</v>
      </c>
      <c r="CX26" s="57">
        <f t="shared" si="100"/>
        <v>41</v>
      </c>
      <c r="CY26" s="57">
        <f t="shared" si="100"/>
        <v>40.69</v>
      </c>
      <c r="CZ26" s="57">
        <f t="shared" si="100"/>
        <v>43.949999999999996</v>
      </c>
      <c r="DA26" s="57">
        <f t="shared" si="100"/>
        <v>41.660000000000004</v>
      </c>
      <c r="DB26" s="57">
        <f t="shared" si="100"/>
        <v>51.49</v>
      </c>
      <c r="DC26" s="79">
        <f t="shared" si="100"/>
        <v>472.6500000000001</v>
      </c>
      <c r="DD26" s="57">
        <f t="shared" si="100"/>
        <v>41.86</v>
      </c>
      <c r="DE26" s="57">
        <f t="shared" si="100"/>
        <v>37.86</v>
      </c>
      <c r="DF26" s="57">
        <f t="shared" si="100"/>
        <v>50.48</v>
      </c>
      <c r="DG26" s="57">
        <f t="shared" si="100"/>
        <v>46.660000000000004</v>
      </c>
      <c r="DH26" s="57">
        <f t="shared" si="100"/>
        <v>51.31999999999999</v>
      </c>
      <c r="DI26" s="57">
        <f t="shared" si="100"/>
        <v>52.72</v>
      </c>
      <c r="DJ26" s="57">
        <f t="shared" si="100"/>
        <v>49.019999999999996</v>
      </c>
      <c r="DK26" s="57">
        <f t="shared" si="100"/>
        <v>44.589999999999996</v>
      </c>
      <c r="DL26" s="57">
        <f t="shared" si="100"/>
        <v>46.52</v>
      </c>
      <c r="DM26" s="57">
        <f t="shared" si="100"/>
        <v>48.16000000000001</v>
      </c>
      <c r="DN26" s="57">
        <f t="shared" si="100"/>
        <v>46.79</v>
      </c>
      <c r="DO26" s="57">
        <f t="shared" si="100"/>
        <v>49</v>
      </c>
      <c r="DP26" s="79">
        <f t="shared" si="100"/>
        <v>564.98</v>
      </c>
      <c r="DQ26" s="57">
        <f t="shared" si="100"/>
        <v>43.07</v>
      </c>
      <c r="DR26" s="57">
        <f t="shared" si="100"/>
        <v>42.22999999999999</v>
      </c>
      <c r="DS26" s="57">
        <f t="shared" si="100"/>
        <v>49.63999999999999</v>
      </c>
      <c r="DT26" s="57">
        <f t="shared" si="100"/>
        <v>48.44</v>
      </c>
      <c r="DU26" s="57">
        <f t="shared" si="100"/>
        <v>54.13</v>
      </c>
      <c r="DV26" s="57">
        <f t="shared" si="100"/>
        <v>58.550000000000004</v>
      </c>
      <c r="DW26" s="57">
        <f t="shared" si="100"/>
        <v>57.14000000000001</v>
      </c>
      <c r="DX26" s="57">
        <f t="shared" si="100"/>
        <v>59.47</v>
      </c>
      <c r="DY26" s="57">
        <f t="shared" si="100"/>
        <v>75.07</v>
      </c>
      <c r="DZ26" s="57">
        <f t="shared" si="100"/>
        <v>51.67999999999999</v>
      </c>
      <c r="EA26" s="57">
        <f t="shared" si="100"/>
        <v>62.309999999999995</v>
      </c>
      <c r="EB26" s="57">
        <f t="shared" si="100"/>
        <v>60.14</v>
      </c>
      <c r="EC26" s="79">
        <f aca="true" t="shared" si="101" ref="EC26:EP26">EC13+EC24</f>
        <v>661.8700000000001</v>
      </c>
      <c r="ED26" s="57">
        <f t="shared" si="101"/>
        <v>56.52</v>
      </c>
      <c r="EE26" s="57">
        <f t="shared" si="101"/>
        <v>58.81</v>
      </c>
      <c r="EF26" s="57">
        <f t="shared" si="101"/>
        <v>63.769999999999996</v>
      </c>
      <c r="EG26" s="57">
        <f t="shared" si="101"/>
        <v>71.51999999999998</v>
      </c>
      <c r="EH26" s="57">
        <f t="shared" si="101"/>
        <v>76.97000000000001</v>
      </c>
      <c r="EI26" s="57">
        <f t="shared" si="101"/>
        <v>81.55</v>
      </c>
      <c r="EJ26" s="57">
        <f t="shared" si="101"/>
        <v>100.77999999999999</v>
      </c>
      <c r="EK26" s="57">
        <f t="shared" si="101"/>
        <v>62.959999999999994</v>
      </c>
      <c r="EL26" s="57">
        <f t="shared" si="101"/>
        <v>101.05000000000001</v>
      </c>
      <c r="EM26" s="57">
        <f t="shared" si="101"/>
        <v>99.41000000000001</v>
      </c>
      <c r="EN26" s="57">
        <f t="shared" si="101"/>
        <v>71.09</v>
      </c>
      <c r="EO26" s="57">
        <f t="shared" si="101"/>
        <v>62.38</v>
      </c>
      <c r="EP26" s="79">
        <f t="shared" si="101"/>
        <v>906.81</v>
      </c>
      <c r="EQ26" s="57">
        <f aca="true" t="shared" si="102" ref="EQ26:GM26">EQ13+EQ24</f>
        <v>53.35999999999999</v>
      </c>
      <c r="ER26" s="57">
        <f t="shared" si="102"/>
        <v>65.64</v>
      </c>
      <c r="ES26" s="57">
        <f t="shared" si="102"/>
        <v>54.42</v>
      </c>
      <c r="ET26" s="57">
        <f t="shared" si="102"/>
        <v>45.349999999999994</v>
      </c>
      <c r="EU26" s="57">
        <f t="shared" si="102"/>
        <v>58.839999999999996</v>
      </c>
      <c r="EV26" s="57">
        <f t="shared" si="102"/>
        <v>53.88000000000001</v>
      </c>
      <c r="EW26" s="57">
        <f t="shared" si="102"/>
        <v>75.07</v>
      </c>
      <c r="EX26" s="57">
        <f t="shared" si="102"/>
        <v>78.57000000000001</v>
      </c>
      <c r="EY26" s="57">
        <f t="shared" si="102"/>
        <v>48.15</v>
      </c>
      <c r="EZ26" s="57">
        <f t="shared" si="102"/>
        <v>85.21</v>
      </c>
      <c r="FA26" s="57">
        <f t="shared" si="102"/>
        <v>44.01</v>
      </c>
      <c r="FB26" s="57">
        <f t="shared" si="102"/>
        <v>51.76</v>
      </c>
      <c r="FC26" s="79">
        <f t="shared" si="102"/>
        <v>714.2600000000001</v>
      </c>
      <c r="FD26" s="57">
        <f t="shared" si="102"/>
        <v>56.88</v>
      </c>
      <c r="FE26" s="57">
        <f t="shared" si="102"/>
        <v>60.88999999999999</v>
      </c>
      <c r="FF26" s="57">
        <f t="shared" si="102"/>
        <v>41.32999999999999</v>
      </c>
      <c r="FG26" s="57">
        <f t="shared" si="102"/>
        <v>52.540000000000006</v>
      </c>
      <c r="FH26" s="57">
        <f t="shared" si="102"/>
        <v>64.77000000000001</v>
      </c>
      <c r="FI26" s="57">
        <f t="shared" si="102"/>
        <v>39.82</v>
      </c>
      <c r="FJ26" s="57">
        <f t="shared" si="102"/>
        <v>50.36999999999999</v>
      </c>
      <c r="FK26" s="57">
        <f t="shared" si="102"/>
        <v>69.38</v>
      </c>
      <c r="FL26" s="57">
        <f t="shared" si="102"/>
        <v>66.63</v>
      </c>
      <c r="FM26" s="57">
        <f t="shared" si="102"/>
        <v>65.2</v>
      </c>
      <c r="FN26" s="57">
        <f t="shared" si="102"/>
        <v>48.55</v>
      </c>
      <c r="FO26" s="57">
        <f t="shared" si="102"/>
        <v>81.75999999999999</v>
      </c>
      <c r="FP26" s="79">
        <f t="shared" si="102"/>
        <v>698.1199999999999</v>
      </c>
      <c r="FQ26" s="57">
        <f t="shared" si="102"/>
        <v>29.759999999999998</v>
      </c>
      <c r="FR26" s="57">
        <f t="shared" si="102"/>
        <v>25.260000000000005</v>
      </c>
      <c r="FS26" s="57">
        <f t="shared" si="102"/>
        <v>39.626</v>
      </c>
      <c r="FT26" s="57">
        <f t="shared" si="102"/>
        <v>44.37</v>
      </c>
      <c r="FU26" s="57">
        <f t="shared" si="102"/>
        <v>39.949999999999996</v>
      </c>
      <c r="FV26" s="57">
        <f t="shared" si="102"/>
        <v>44.59</v>
      </c>
      <c r="FW26" s="57">
        <f t="shared" si="102"/>
        <v>56.22999999999999</v>
      </c>
      <c r="FX26" s="57">
        <f t="shared" si="102"/>
        <v>56.989999999999995</v>
      </c>
      <c r="FY26" s="57">
        <f t="shared" si="102"/>
        <v>61.33999999999999</v>
      </c>
      <c r="FZ26" s="57">
        <f t="shared" si="102"/>
        <v>50.16000000000001</v>
      </c>
      <c r="GA26" s="57">
        <f t="shared" si="102"/>
        <v>39.66</v>
      </c>
      <c r="GB26" s="57">
        <f t="shared" si="102"/>
        <v>61.16</v>
      </c>
      <c r="GC26" s="79">
        <f t="shared" si="102"/>
        <v>549.096</v>
      </c>
      <c r="GD26" s="57">
        <f t="shared" si="102"/>
        <v>33.52</v>
      </c>
      <c r="GE26" s="57">
        <f t="shared" si="102"/>
        <v>35.440000000000005</v>
      </c>
      <c r="GF26" s="57">
        <f t="shared" si="102"/>
        <v>48.42</v>
      </c>
      <c r="GG26" s="57">
        <f t="shared" si="102"/>
        <v>42.75</v>
      </c>
      <c r="GH26" s="57">
        <f t="shared" si="102"/>
        <v>45.06999999999999</v>
      </c>
      <c r="GI26" s="57">
        <f t="shared" si="102"/>
        <v>45.879999999999995</v>
      </c>
      <c r="GJ26" s="57">
        <f t="shared" si="102"/>
        <v>49.21000000000001</v>
      </c>
      <c r="GK26" s="57">
        <f t="shared" si="102"/>
        <v>60.27000000000001</v>
      </c>
      <c r="GL26" s="57">
        <f t="shared" si="102"/>
        <v>59.71</v>
      </c>
      <c r="GM26" s="57">
        <f t="shared" si="102"/>
        <v>47.35</v>
      </c>
      <c r="GN26" s="57">
        <f aca="true" t="shared" si="103" ref="GN26:IC26">GN13+GN24</f>
        <v>48.330000000000005</v>
      </c>
      <c r="GO26" s="57">
        <f t="shared" si="103"/>
        <v>47.959999999999994</v>
      </c>
      <c r="GP26" s="79">
        <f t="shared" si="103"/>
        <v>563.9100000000001</v>
      </c>
      <c r="GQ26" s="57">
        <f t="shared" si="103"/>
        <v>38.03999999999999</v>
      </c>
      <c r="GR26" s="57">
        <f t="shared" si="103"/>
        <v>39.730000000000004</v>
      </c>
      <c r="GS26" s="57">
        <f t="shared" si="103"/>
        <v>59.78999999999999</v>
      </c>
      <c r="GT26" s="57">
        <f t="shared" si="103"/>
        <v>26.390000000000004</v>
      </c>
      <c r="GU26" s="57">
        <f t="shared" si="103"/>
        <v>42.10999999999999</v>
      </c>
      <c r="GV26" s="57">
        <f t="shared" si="103"/>
        <v>38.10000000000001</v>
      </c>
      <c r="GW26" s="57">
        <f t="shared" si="103"/>
        <v>49.81999999999999</v>
      </c>
      <c r="GX26" s="57">
        <f t="shared" si="103"/>
        <v>53.16</v>
      </c>
      <c r="GY26" s="57">
        <f t="shared" si="103"/>
        <v>43.849999999999994</v>
      </c>
      <c r="GZ26" s="57">
        <f t="shared" si="103"/>
        <v>45.07</v>
      </c>
      <c r="HA26" s="57">
        <f t="shared" si="103"/>
        <v>37.81</v>
      </c>
      <c r="HB26" s="57">
        <f t="shared" si="103"/>
        <v>38.24</v>
      </c>
      <c r="HC26" s="79">
        <f t="shared" si="103"/>
        <v>512.11</v>
      </c>
      <c r="HD26" s="57">
        <f t="shared" si="103"/>
        <v>34.84</v>
      </c>
      <c r="HE26" s="57">
        <f t="shared" si="103"/>
        <v>34.03</v>
      </c>
      <c r="HF26" s="57">
        <f t="shared" si="103"/>
        <v>41.38999999999999</v>
      </c>
      <c r="HG26" s="57">
        <f t="shared" si="103"/>
        <v>40.47</v>
      </c>
      <c r="HH26" s="57">
        <f t="shared" si="103"/>
        <v>42.76</v>
      </c>
      <c r="HI26" s="57">
        <f t="shared" si="103"/>
        <v>39.080000000000005</v>
      </c>
      <c r="HJ26" s="57">
        <f t="shared" si="103"/>
        <v>48.309999999999995</v>
      </c>
      <c r="HK26" s="57">
        <f t="shared" si="103"/>
        <v>49.300000000000004</v>
      </c>
      <c r="HL26" s="57">
        <f t="shared" si="103"/>
        <v>51.44</v>
      </c>
      <c r="HM26" s="57">
        <f t="shared" si="103"/>
        <v>49.480000000000004</v>
      </c>
      <c r="HN26" s="57">
        <f t="shared" si="103"/>
        <v>44.97</v>
      </c>
      <c r="HO26" s="57">
        <f t="shared" si="103"/>
        <v>40.669999999999995</v>
      </c>
      <c r="HP26" s="79">
        <f t="shared" si="103"/>
        <v>516.74</v>
      </c>
      <c r="HQ26" s="57">
        <f t="shared" si="103"/>
        <v>43.41</v>
      </c>
      <c r="HR26" s="57">
        <f t="shared" si="103"/>
        <v>41.66</v>
      </c>
      <c r="HS26" s="57">
        <f t="shared" si="103"/>
        <v>39.67</v>
      </c>
      <c r="HT26" s="57">
        <f t="shared" si="103"/>
        <v>51.59000000000002</v>
      </c>
      <c r="HU26" s="57">
        <f t="shared" si="103"/>
        <v>61.43</v>
      </c>
      <c r="HV26" s="57">
        <f t="shared" si="103"/>
        <v>43.209999999999994</v>
      </c>
      <c r="HW26" s="57">
        <f t="shared" si="103"/>
        <v>46.75</v>
      </c>
      <c r="HX26" s="57">
        <f t="shared" si="103"/>
        <v>40.27</v>
      </c>
      <c r="HY26" s="57">
        <f t="shared" si="103"/>
        <v>69.06</v>
      </c>
      <c r="HZ26" s="57">
        <f t="shared" si="103"/>
        <v>43.81</v>
      </c>
      <c r="IA26" s="57">
        <f t="shared" si="103"/>
        <v>35.43</v>
      </c>
      <c r="IB26" s="57">
        <f t="shared" si="103"/>
        <v>40.760000000000005</v>
      </c>
      <c r="IC26" s="79">
        <f t="shared" si="103"/>
        <v>557.05</v>
      </c>
    </row>
    <row r="29" ht="12.75">
      <c r="A29" s="1" t="s">
        <v>18</v>
      </c>
    </row>
    <row r="30" ht="12.75">
      <c r="A30" s="3" t="s">
        <v>19</v>
      </c>
    </row>
    <row r="31" ht="12.75">
      <c r="A31" s="3" t="s">
        <v>20</v>
      </c>
    </row>
  </sheetData>
  <sheetProtection/>
  <mergeCells count="27">
    <mergeCell ref="GQ3:HC3"/>
    <mergeCell ref="HD3:HP3"/>
    <mergeCell ref="HQ3:IC3"/>
    <mergeCell ref="EQ3:FC3"/>
    <mergeCell ref="ED3:EP3"/>
    <mergeCell ref="FD3:FP3"/>
    <mergeCell ref="FQ3:GC3"/>
    <mergeCell ref="GD3:GP3"/>
    <mergeCell ref="BD3:BP3"/>
    <mergeCell ref="BQ3:CC3"/>
    <mergeCell ref="CD3:CP3"/>
    <mergeCell ref="CQ3:DC3"/>
    <mergeCell ref="DD3:DP3"/>
    <mergeCell ref="DQ3:EC3"/>
    <mergeCell ref="A25:C25"/>
    <mergeCell ref="A26:C26"/>
    <mergeCell ref="A5:A13"/>
    <mergeCell ref="B5:B7"/>
    <mergeCell ref="B8:B10"/>
    <mergeCell ref="B11:B13"/>
    <mergeCell ref="AQ3:BC3"/>
    <mergeCell ref="A14:A24"/>
    <mergeCell ref="D3:P3"/>
    <mergeCell ref="Q3:AC3"/>
    <mergeCell ref="AD3:AP3"/>
    <mergeCell ref="B14:B17"/>
    <mergeCell ref="B18:B2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6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28125" style="14" customWidth="1"/>
    <col min="2" max="2" width="24.28125" style="14" customWidth="1"/>
    <col min="3" max="3" width="17.57421875" style="14" customWidth="1"/>
    <col min="4" max="4" width="9.00390625" style="92" customWidth="1"/>
    <col min="5" max="9" width="9.140625" style="92" customWidth="1"/>
    <col min="10" max="10" width="9.28125" style="92" customWidth="1"/>
    <col min="11" max="21" width="9.140625" style="92" customWidth="1"/>
    <col min="22" max="16384" width="9.140625" style="14" customWidth="1"/>
  </cols>
  <sheetData>
    <row r="1" s="1" customFormat="1" ht="19.5" customHeight="1">
      <c r="A1" s="2" t="s">
        <v>51</v>
      </c>
    </row>
    <row r="2" s="1" customFormat="1" ht="6.75" customHeight="1" thickBot="1"/>
    <row r="3" spans="2:21" s="1" customFormat="1" ht="32.25" thickBot="1">
      <c r="B3" s="4"/>
      <c r="C3" s="4"/>
      <c r="D3" s="91" t="s">
        <v>33</v>
      </c>
      <c r="E3" s="91" t="s">
        <v>34</v>
      </c>
      <c r="F3" s="91" t="s">
        <v>35</v>
      </c>
      <c r="G3" s="91" t="s">
        <v>50</v>
      </c>
      <c r="H3" s="91" t="s">
        <v>49</v>
      </c>
      <c r="I3" s="91" t="s">
        <v>48</v>
      </c>
      <c r="J3" s="91" t="s">
        <v>47</v>
      </c>
      <c r="K3" s="91" t="s">
        <v>46</v>
      </c>
      <c r="L3" s="91" t="s">
        <v>45</v>
      </c>
      <c r="M3" s="91" t="s">
        <v>44</v>
      </c>
      <c r="N3" s="91" t="s">
        <v>43</v>
      </c>
      <c r="O3" s="91" t="s">
        <v>42</v>
      </c>
      <c r="P3" s="91" t="s">
        <v>40</v>
      </c>
      <c r="Q3" s="91" t="s">
        <v>41</v>
      </c>
      <c r="R3" s="91" t="s">
        <v>39</v>
      </c>
      <c r="S3" s="91" t="s">
        <v>38</v>
      </c>
      <c r="T3" s="91" t="s">
        <v>37</v>
      </c>
      <c r="U3" s="91" t="s">
        <v>36</v>
      </c>
    </row>
    <row r="4" spans="1:22" s="1" customFormat="1" ht="30" customHeight="1">
      <c r="A4" s="98" t="s">
        <v>6</v>
      </c>
      <c r="B4" s="100" t="s">
        <v>7</v>
      </c>
      <c r="C4" s="17" t="s">
        <v>15</v>
      </c>
      <c r="D4" s="59">
        <v>1788.25</v>
      </c>
      <c r="E4" s="29">
        <v>1698.3800000000003</v>
      </c>
      <c r="F4" s="38">
        <v>1652.1599999999999</v>
      </c>
      <c r="G4" s="38">
        <v>479.81000000000006</v>
      </c>
      <c r="H4" s="38">
        <v>554.8900000000001</v>
      </c>
      <c r="I4" s="38">
        <v>431.94</v>
      </c>
      <c r="J4" s="38">
        <v>46.369</v>
      </c>
      <c r="K4" s="38">
        <v>569.09</v>
      </c>
      <c r="L4" s="38">
        <v>647.5000000000001</v>
      </c>
      <c r="M4" s="38">
        <v>954.6899999999999</v>
      </c>
      <c r="N4" s="38">
        <v>1381.28</v>
      </c>
      <c r="O4" s="38">
        <v>1954.9199999999998</v>
      </c>
      <c r="P4" s="38">
        <v>2142.94</v>
      </c>
      <c r="Q4" s="38">
        <v>2180.33</v>
      </c>
      <c r="R4" s="38">
        <v>3991.919999999999</v>
      </c>
      <c r="S4" s="38">
        <v>5094.85</v>
      </c>
      <c r="T4" s="38">
        <v>6348.680000000001</v>
      </c>
      <c r="U4" s="38">
        <v>6265.73</v>
      </c>
      <c r="V4" s="93"/>
    </row>
    <row r="5" spans="1:21" s="1" customFormat="1" ht="30" customHeight="1" thickBot="1">
      <c r="A5" s="99"/>
      <c r="B5" s="101"/>
      <c r="C5" s="18" t="s">
        <v>14</v>
      </c>
      <c r="D5" s="60">
        <v>196.87310000000002</v>
      </c>
      <c r="E5" s="30">
        <v>325.44599999999997</v>
      </c>
      <c r="F5" s="41">
        <v>151.093</v>
      </c>
      <c r="G5" s="41">
        <v>165.98</v>
      </c>
      <c r="H5" s="41">
        <v>166.22299999999998</v>
      </c>
      <c r="I5" s="41">
        <v>150.39000000000001</v>
      </c>
      <c r="J5" s="41">
        <v>149.363</v>
      </c>
      <c r="K5" s="41">
        <v>149.86999999999998</v>
      </c>
      <c r="L5" s="41">
        <v>183.48000000000002</v>
      </c>
      <c r="M5" s="41">
        <v>160.75</v>
      </c>
      <c r="N5" s="41">
        <v>220.38000000000002</v>
      </c>
      <c r="O5" s="41">
        <v>164.48</v>
      </c>
      <c r="P5" s="41">
        <v>171.14999999999998</v>
      </c>
      <c r="Q5" s="41">
        <v>143.17</v>
      </c>
      <c r="R5" s="41">
        <v>167.97</v>
      </c>
      <c r="S5" s="41">
        <v>165.02</v>
      </c>
      <c r="T5" s="41">
        <v>188.30999999999997</v>
      </c>
      <c r="U5" s="41">
        <v>169.85</v>
      </c>
    </row>
    <row r="6" spans="1:21" s="1" customFormat="1" ht="30" customHeight="1" thickBot="1">
      <c r="A6" s="99"/>
      <c r="B6" s="102"/>
      <c r="C6" s="8" t="s">
        <v>11</v>
      </c>
      <c r="D6" s="61">
        <v>1985.1230999999998</v>
      </c>
      <c r="E6" s="31">
        <v>2023.826</v>
      </c>
      <c r="F6" s="43">
        <v>1803.2530000000002</v>
      </c>
      <c r="G6" s="43">
        <v>645.7900000000001</v>
      </c>
      <c r="H6" s="43">
        <v>721.1129999999998</v>
      </c>
      <c r="I6" s="43">
        <v>582.33</v>
      </c>
      <c r="J6" s="43">
        <v>4480.442999999999</v>
      </c>
      <c r="K6" s="43">
        <v>718.96</v>
      </c>
      <c r="L6" s="43">
        <v>830.98</v>
      </c>
      <c r="M6" s="43">
        <v>1115.44</v>
      </c>
      <c r="N6" s="43">
        <v>1601.66</v>
      </c>
      <c r="O6" s="43">
        <v>2119.3999999999996</v>
      </c>
      <c r="P6" s="43">
        <v>2314.09</v>
      </c>
      <c r="Q6" s="43">
        <v>2323.5</v>
      </c>
      <c r="R6" s="43">
        <v>4159.89</v>
      </c>
      <c r="S6" s="43">
        <v>5259.87</v>
      </c>
      <c r="T6" s="43">
        <v>6536.99</v>
      </c>
      <c r="U6" s="43">
        <v>6435.580000000001</v>
      </c>
    </row>
    <row r="7" spans="1:21" s="1" customFormat="1" ht="30" customHeight="1">
      <c r="A7" s="99"/>
      <c r="B7" s="100" t="s">
        <v>8</v>
      </c>
      <c r="C7" s="17" t="s">
        <v>15</v>
      </c>
      <c r="D7" s="59">
        <v>1729.25</v>
      </c>
      <c r="E7" s="29">
        <v>1740.7999999999997</v>
      </c>
      <c r="F7" s="38">
        <v>1520.2600000000002</v>
      </c>
      <c r="G7" s="38">
        <v>541.24</v>
      </c>
      <c r="H7" s="38">
        <v>526.29</v>
      </c>
      <c r="I7" s="38">
        <v>558.3899999999999</v>
      </c>
      <c r="J7" s="38">
        <v>570.12</v>
      </c>
      <c r="K7" s="38">
        <v>598.83</v>
      </c>
      <c r="L7" s="38">
        <v>664.99</v>
      </c>
      <c r="M7" s="38">
        <v>947.4399999999999</v>
      </c>
      <c r="N7" s="38">
        <v>1396.58</v>
      </c>
      <c r="O7" s="38">
        <v>1950.5199999999998</v>
      </c>
      <c r="P7" s="38">
        <v>2072.89</v>
      </c>
      <c r="Q7" s="38">
        <v>2167.7999999999997</v>
      </c>
      <c r="R7" s="38">
        <v>4039.29</v>
      </c>
      <c r="S7" s="38">
        <v>5088.67</v>
      </c>
      <c r="T7" s="38">
        <v>6140.249999999999</v>
      </c>
      <c r="U7" s="38">
        <v>6457.799999999999</v>
      </c>
    </row>
    <row r="8" spans="1:21" s="1" customFormat="1" ht="30" customHeight="1" thickBot="1">
      <c r="A8" s="99"/>
      <c r="B8" s="101"/>
      <c r="C8" s="18" t="s">
        <v>14</v>
      </c>
      <c r="D8" s="60">
        <v>178.526</v>
      </c>
      <c r="E8" s="30">
        <v>241.586</v>
      </c>
      <c r="F8" s="41">
        <v>150.86700000000002</v>
      </c>
      <c r="G8" s="41">
        <v>252.924</v>
      </c>
      <c r="H8" s="41">
        <v>151.23</v>
      </c>
      <c r="I8" s="41">
        <v>140.08499999999998</v>
      </c>
      <c r="J8" s="41">
        <v>153.276</v>
      </c>
      <c r="K8" s="41">
        <v>148.67</v>
      </c>
      <c r="L8" s="41">
        <v>182.39000000000004</v>
      </c>
      <c r="M8" s="41">
        <v>157.85</v>
      </c>
      <c r="N8" s="41">
        <v>224.07000000000005</v>
      </c>
      <c r="O8" s="41">
        <v>167.65</v>
      </c>
      <c r="P8" s="41">
        <v>162.22</v>
      </c>
      <c r="Q8" s="41">
        <v>158.43999999999997</v>
      </c>
      <c r="R8" s="41">
        <v>164.64000000000001</v>
      </c>
      <c r="S8" s="41">
        <v>166.56000000000003</v>
      </c>
      <c r="T8" s="41">
        <v>185.26</v>
      </c>
      <c r="U8" s="41">
        <v>176.01</v>
      </c>
    </row>
    <row r="9" spans="1:21" s="1" customFormat="1" ht="30" customHeight="1" thickBot="1">
      <c r="A9" s="99"/>
      <c r="B9" s="101"/>
      <c r="C9" s="8" t="s">
        <v>11</v>
      </c>
      <c r="D9" s="61">
        <v>2039.471</v>
      </c>
      <c r="E9" s="31">
        <v>1982.386</v>
      </c>
      <c r="F9" s="43">
        <v>1671.127</v>
      </c>
      <c r="G9" s="43">
        <v>794.1640000000001</v>
      </c>
      <c r="H9" s="43">
        <v>677.52</v>
      </c>
      <c r="I9" s="43">
        <v>698.475</v>
      </c>
      <c r="J9" s="43">
        <v>723.3960000000001</v>
      </c>
      <c r="K9" s="43">
        <v>747.5</v>
      </c>
      <c r="L9" s="43">
        <v>847.3800000000001</v>
      </c>
      <c r="M9" s="43">
        <v>1105.29</v>
      </c>
      <c r="N9" s="43">
        <v>1620.65</v>
      </c>
      <c r="O9" s="43">
        <v>2118.17</v>
      </c>
      <c r="P9" s="43">
        <v>2235.1100000000006</v>
      </c>
      <c r="Q9" s="43">
        <v>2326.2400000000002</v>
      </c>
      <c r="R9" s="43">
        <v>4203.929999999999</v>
      </c>
      <c r="S9" s="43">
        <v>5255.2300000000005</v>
      </c>
      <c r="T9" s="43">
        <v>6325.51</v>
      </c>
      <c r="U9" s="43">
        <v>6633.81</v>
      </c>
    </row>
    <row r="10" spans="1:21" s="1" customFormat="1" ht="30" customHeight="1">
      <c r="A10" s="99"/>
      <c r="B10" s="100" t="s">
        <v>9</v>
      </c>
      <c r="C10" s="17" t="s">
        <v>15</v>
      </c>
      <c r="D10" s="59">
        <v>0</v>
      </c>
      <c r="E10" s="29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10.709999999999999</v>
      </c>
      <c r="L10" s="38">
        <v>12.05</v>
      </c>
      <c r="M10" s="38">
        <v>17.540000000000003</v>
      </c>
      <c r="N10" s="38">
        <v>25.830000000000005</v>
      </c>
      <c r="O10" s="38">
        <v>36.08</v>
      </c>
      <c r="P10" s="38">
        <v>38.029999999999994</v>
      </c>
      <c r="Q10" s="38">
        <v>41.486000000000004</v>
      </c>
      <c r="R10" s="38">
        <v>83.02000000000001</v>
      </c>
      <c r="S10" s="38">
        <v>110.13</v>
      </c>
      <c r="T10" s="38">
        <v>135.03</v>
      </c>
      <c r="U10" s="38">
        <v>154.4</v>
      </c>
    </row>
    <row r="11" spans="1:21" s="1" customFormat="1" ht="30" customHeight="1" thickBot="1">
      <c r="A11" s="99"/>
      <c r="B11" s="101"/>
      <c r="C11" s="18" t="s">
        <v>14</v>
      </c>
      <c r="D11" s="60">
        <v>0</v>
      </c>
      <c r="E11" s="3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0.9699999999999999</v>
      </c>
      <c r="L11" s="41">
        <v>1.4500000000000004</v>
      </c>
      <c r="M11" s="41">
        <v>1.0300000000000002</v>
      </c>
      <c r="N11" s="41">
        <v>1.79</v>
      </c>
      <c r="O11" s="41">
        <v>1.0499999999999998</v>
      </c>
      <c r="P11" s="41">
        <v>1.0199999999999998</v>
      </c>
      <c r="Q11" s="41">
        <v>0.9999999999999998</v>
      </c>
      <c r="R11" s="41">
        <v>0.9799999999999998</v>
      </c>
      <c r="S11" s="41">
        <v>1.0899999999999999</v>
      </c>
      <c r="T11" s="41">
        <v>1.2200000000000002</v>
      </c>
      <c r="U11" s="41">
        <v>1.18</v>
      </c>
    </row>
    <row r="12" spans="1:21" s="1" customFormat="1" ht="30" customHeight="1" thickBot="1">
      <c r="A12" s="105"/>
      <c r="B12" s="102"/>
      <c r="C12" s="8" t="s">
        <v>11</v>
      </c>
      <c r="D12" s="61">
        <v>29.491650257499998</v>
      </c>
      <c r="E12" s="31">
        <v>28.941162</v>
      </c>
      <c r="F12" s="43">
        <v>26.094237000000003</v>
      </c>
      <c r="G12" s="43">
        <v>10.84955508</v>
      </c>
      <c r="H12" s="43">
        <v>10.010529</v>
      </c>
      <c r="I12" s="43">
        <v>10.221718</v>
      </c>
      <c r="J12" s="43">
        <v>9.400357</v>
      </c>
      <c r="K12" s="43">
        <v>11.680000000000001</v>
      </c>
      <c r="L12" s="43">
        <v>13.5</v>
      </c>
      <c r="M12" s="43">
        <v>18.57</v>
      </c>
      <c r="N12" s="43">
        <v>27.619999999999997</v>
      </c>
      <c r="O12" s="43">
        <v>37.129999999999995</v>
      </c>
      <c r="P12" s="43">
        <v>39.05</v>
      </c>
      <c r="Q12" s="43">
        <v>42.486</v>
      </c>
      <c r="R12" s="43">
        <v>84</v>
      </c>
      <c r="S12" s="43">
        <v>111.22</v>
      </c>
      <c r="T12" s="43">
        <v>136.25</v>
      </c>
      <c r="U12" s="43">
        <v>155.57999999999998</v>
      </c>
    </row>
    <row r="13" spans="1:21" s="1" customFormat="1" ht="30" customHeight="1">
      <c r="A13" s="98" t="s">
        <v>10</v>
      </c>
      <c r="B13" s="100" t="s">
        <v>8</v>
      </c>
      <c r="C13" s="17" t="s">
        <v>15</v>
      </c>
      <c r="D13" s="59">
        <v>6939.1320000000005</v>
      </c>
      <c r="E13" s="29">
        <v>6899.516</v>
      </c>
      <c r="F13" s="38">
        <v>6570.914999999999</v>
      </c>
      <c r="G13" s="38">
        <v>6175.571</v>
      </c>
      <c r="H13" s="38">
        <v>6239.918</v>
      </c>
      <c r="I13" s="38">
        <v>6867.8730000000005</v>
      </c>
      <c r="J13" s="38">
        <v>7243.530000000001</v>
      </c>
      <c r="K13" s="38">
        <v>9023.67</v>
      </c>
      <c r="L13" s="38">
        <v>10309.27</v>
      </c>
      <c r="M13" s="38">
        <v>11480.09</v>
      </c>
      <c r="N13" s="38">
        <v>14107.96</v>
      </c>
      <c r="O13" s="38">
        <v>10171.73</v>
      </c>
      <c r="P13" s="38">
        <v>9709.48</v>
      </c>
      <c r="Q13" s="38">
        <v>6049.860000000001</v>
      </c>
      <c r="R13" s="38">
        <v>5489.82</v>
      </c>
      <c r="S13" s="38">
        <v>4173.69</v>
      </c>
      <c r="T13" s="38">
        <v>3930.39</v>
      </c>
      <c r="U13" s="38">
        <v>4562.089999999999</v>
      </c>
    </row>
    <row r="14" spans="1:21" s="1" customFormat="1" ht="30" customHeight="1">
      <c r="A14" s="99"/>
      <c r="B14" s="101"/>
      <c r="C14" s="19" t="s">
        <v>3</v>
      </c>
      <c r="D14" s="60">
        <v>9.574</v>
      </c>
      <c r="E14" s="86">
        <v>57.81900000000002</v>
      </c>
      <c r="F14" s="86">
        <v>57.935</v>
      </c>
      <c r="G14" s="86">
        <v>42.605999999999995</v>
      </c>
      <c r="H14" s="86">
        <v>37.246</v>
      </c>
      <c r="I14" s="86">
        <v>31.558</v>
      </c>
      <c r="J14" s="86">
        <v>25.076</v>
      </c>
      <c r="K14" s="22"/>
      <c r="L14" s="22"/>
      <c r="M14" s="22"/>
      <c r="N14" s="22"/>
      <c r="O14" s="22"/>
      <c r="P14" s="22"/>
      <c r="Q14" s="22">
        <v>0</v>
      </c>
      <c r="R14" s="22"/>
      <c r="S14" s="22">
        <v>0</v>
      </c>
      <c r="T14" s="22"/>
      <c r="U14" s="22"/>
    </row>
    <row r="15" spans="1:21" s="1" customFormat="1" ht="30" customHeight="1" thickBot="1">
      <c r="A15" s="99"/>
      <c r="B15" s="101"/>
      <c r="C15" s="18" t="s">
        <v>4</v>
      </c>
      <c r="D15" s="60">
        <v>473.909</v>
      </c>
      <c r="E15" s="30">
        <v>474.71000000000004</v>
      </c>
      <c r="F15" s="41">
        <v>428.66599999999994</v>
      </c>
      <c r="G15" s="41">
        <v>614.598</v>
      </c>
      <c r="H15" s="41">
        <v>299.889</v>
      </c>
      <c r="I15" s="41">
        <v>572.11</v>
      </c>
      <c r="J15" s="41">
        <v>857.8100000000001</v>
      </c>
      <c r="K15" s="41">
        <v>1140.42</v>
      </c>
      <c r="L15" s="41">
        <v>1515.2600000000002</v>
      </c>
      <c r="M15" s="41">
        <v>2219.0000000000005</v>
      </c>
      <c r="N15" s="41">
        <v>2124.84</v>
      </c>
      <c r="O15" s="41">
        <v>2276.6</v>
      </c>
      <c r="P15" s="41">
        <v>2668.5299999999997</v>
      </c>
      <c r="Q15" s="41">
        <v>3361.96</v>
      </c>
      <c r="R15" s="41">
        <v>3208.6399999999994</v>
      </c>
      <c r="S15" s="41">
        <v>2813.52</v>
      </c>
      <c r="T15" s="41">
        <v>2763.97</v>
      </c>
      <c r="U15" s="41">
        <v>2705.8399999999997</v>
      </c>
    </row>
    <row r="16" spans="1:21" s="1" customFormat="1" ht="30" customHeight="1" thickBot="1">
      <c r="A16" s="99"/>
      <c r="B16" s="101"/>
      <c r="C16" s="8" t="s">
        <v>11</v>
      </c>
      <c r="D16" s="61">
        <v>7914.056</v>
      </c>
      <c r="E16" s="31">
        <v>7432.045</v>
      </c>
      <c r="F16" s="43">
        <v>7021.787</v>
      </c>
      <c r="G16" s="43">
        <v>6832.775</v>
      </c>
      <c r="H16" s="43">
        <v>6577.053000000001</v>
      </c>
      <c r="I16" s="43">
        <v>7471.540999999997</v>
      </c>
      <c r="J16" s="43">
        <v>8126.416000000001</v>
      </c>
      <c r="K16" s="43">
        <v>10164.09</v>
      </c>
      <c r="L16" s="43">
        <v>11824.529999999999</v>
      </c>
      <c r="M16" s="43">
        <v>13699.089999999998</v>
      </c>
      <c r="N16" s="43">
        <v>16232.8</v>
      </c>
      <c r="O16" s="43">
        <v>12448.330000000002</v>
      </c>
      <c r="P16" s="43">
        <v>12378.009999999998</v>
      </c>
      <c r="Q16" s="43">
        <v>9411.82</v>
      </c>
      <c r="R16" s="43">
        <v>8698.46</v>
      </c>
      <c r="S16" s="43">
        <v>6987.21</v>
      </c>
      <c r="T16" s="43">
        <v>6694.360000000001</v>
      </c>
      <c r="U16" s="43">
        <v>7267.93</v>
      </c>
    </row>
    <row r="17" spans="1:21" s="1" customFormat="1" ht="30" customHeight="1">
      <c r="A17" s="99"/>
      <c r="B17" s="100" t="s">
        <v>9</v>
      </c>
      <c r="C17" s="17" t="s">
        <v>15</v>
      </c>
      <c r="D17" s="34">
        <v>0</v>
      </c>
      <c r="E17" s="34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435.12000000000006</v>
      </c>
      <c r="L17" s="51">
        <v>514.96</v>
      </c>
      <c r="M17" s="51">
        <v>594</v>
      </c>
      <c r="N17" s="51">
        <v>825.28</v>
      </c>
      <c r="O17" s="51">
        <v>624.67</v>
      </c>
      <c r="P17" s="51">
        <v>598.65</v>
      </c>
      <c r="Q17" s="51">
        <v>422.25000000000006</v>
      </c>
      <c r="R17" s="51">
        <v>391.32</v>
      </c>
      <c r="S17" s="51">
        <v>316.69000000000005</v>
      </c>
      <c r="T17" s="51">
        <v>297.46000000000004</v>
      </c>
      <c r="U17" s="51">
        <v>322.27000000000004</v>
      </c>
    </row>
    <row r="18" spans="1:21" s="1" customFormat="1" ht="30" customHeight="1">
      <c r="A18" s="99"/>
      <c r="B18" s="101"/>
      <c r="C18" s="20" t="s">
        <v>4</v>
      </c>
      <c r="D18" s="36">
        <v>0</v>
      </c>
      <c r="E18" s="36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17.43</v>
      </c>
      <c r="L18" s="52">
        <v>26.530000000000005</v>
      </c>
      <c r="M18" s="52">
        <v>39.519999999999996</v>
      </c>
      <c r="N18" s="52">
        <v>42.46</v>
      </c>
      <c r="O18" s="52">
        <v>44.449999999999996</v>
      </c>
      <c r="P18" s="52">
        <v>52.37</v>
      </c>
      <c r="Q18" s="52">
        <v>75.15999999999998</v>
      </c>
      <c r="R18" s="52">
        <v>78.48000000000002</v>
      </c>
      <c r="S18" s="52">
        <v>73.07</v>
      </c>
      <c r="T18" s="52">
        <v>72.38000000000001</v>
      </c>
      <c r="U18" s="52">
        <v>69.77999999999999</v>
      </c>
    </row>
    <row r="19" spans="1:21" s="1" customFormat="1" ht="30" customHeight="1">
      <c r="A19" s="99"/>
      <c r="B19" s="101"/>
      <c r="C19" s="20" t="s">
        <v>3</v>
      </c>
      <c r="D19" s="62"/>
      <c r="E19" s="3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0</v>
      </c>
      <c r="R19" s="52"/>
      <c r="S19" s="52"/>
      <c r="T19" s="52">
        <v>0</v>
      </c>
      <c r="U19" s="52"/>
    </row>
    <row r="20" spans="1:21" s="1" customFormat="1" ht="30" customHeight="1">
      <c r="A20" s="99"/>
      <c r="B20" s="101"/>
      <c r="C20" s="20" t="s">
        <v>16</v>
      </c>
      <c r="D20" s="62">
        <v>3.4442935</v>
      </c>
      <c r="E20" s="36">
        <v>3.417663</v>
      </c>
      <c r="F20" s="52">
        <v>5.315583999999999</v>
      </c>
      <c r="G20" s="52">
        <v>13.403004000000001</v>
      </c>
      <c r="H20" s="52">
        <v>8.862678</v>
      </c>
      <c r="I20" s="52">
        <v>10.744254999999999</v>
      </c>
      <c r="J20" s="52">
        <v>4.914428</v>
      </c>
      <c r="K20" s="52">
        <v>6.419999999999999</v>
      </c>
      <c r="L20" s="52">
        <v>7.89</v>
      </c>
      <c r="M20" s="52">
        <v>6.82</v>
      </c>
      <c r="N20" s="52">
        <v>7.74</v>
      </c>
      <c r="O20" s="52">
        <v>4.07</v>
      </c>
      <c r="P20" s="52">
        <v>4.92</v>
      </c>
      <c r="Q20" s="52">
        <v>6.5</v>
      </c>
      <c r="R20" s="52">
        <v>7.099999999999999</v>
      </c>
      <c r="S20" s="52">
        <v>7.59</v>
      </c>
      <c r="T20" s="52">
        <v>6.859999999999999</v>
      </c>
      <c r="U20" s="52">
        <v>6.580000000000001</v>
      </c>
    </row>
    <row r="21" spans="1:21" s="1" customFormat="1" ht="30" customHeight="1">
      <c r="A21" s="99"/>
      <c r="B21" s="101"/>
      <c r="C21" s="20" t="s">
        <v>5</v>
      </c>
      <c r="D21" s="36">
        <v>0</v>
      </c>
      <c r="E21" s="36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1.4000000000000001</v>
      </c>
      <c r="L21" s="52">
        <v>1.9099999999999997</v>
      </c>
      <c r="M21" s="52">
        <v>2.5999999999999996</v>
      </c>
      <c r="N21" s="52">
        <v>3.04</v>
      </c>
      <c r="O21" s="52">
        <v>3.45</v>
      </c>
      <c r="P21" s="52">
        <v>2.5799999999999996</v>
      </c>
      <c r="Q21" s="52">
        <v>2.32</v>
      </c>
      <c r="R21" s="52">
        <v>2.66</v>
      </c>
      <c r="S21" s="52">
        <v>3.14</v>
      </c>
      <c r="T21" s="52">
        <v>3.4300000000000006</v>
      </c>
      <c r="U21" s="52">
        <v>2.59</v>
      </c>
    </row>
    <row r="22" spans="1:21" s="1" customFormat="1" ht="30" customHeight="1" thickBot="1">
      <c r="A22" s="99"/>
      <c r="B22" s="101"/>
      <c r="C22" s="18" t="s">
        <v>17</v>
      </c>
      <c r="D22" s="60">
        <v>0.1808425</v>
      </c>
      <c r="E22" s="30">
        <v>0.37457199999999996</v>
      </c>
      <c r="F22" s="41">
        <v>0.45637700000000003</v>
      </c>
      <c r="G22" s="41">
        <v>0.35666637</v>
      </c>
      <c r="H22" s="41">
        <v>0.29435100000000003</v>
      </c>
      <c r="I22" s="41">
        <v>0.443203</v>
      </c>
      <c r="J22" s="41">
        <v>0.035528</v>
      </c>
      <c r="K22" s="41">
        <v>0.6</v>
      </c>
      <c r="L22" s="41">
        <v>0.19</v>
      </c>
      <c r="M22" s="41">
        <v>0.36000000000000004</v>
      </c>
      <c r="N22" s="41">
        <v>0.6700000000000002</v>
      </c>
      <c r="O22" s="41">
        <v>0.49</v>
      </c>
      <c r="P22" s="41">
        <v>0.55</v>
      </c>
      <c r="Q22" s="41">
        <v>0.38</v>
      </c>
      <c r="R22" s="41">
        <v>0.35</v>
      </c>
      <c r="S22" s="41">
        <v>0.4</v>
      </c>
      <c r="T22" s="41">
        <v>0.36000000000000004</v>
      </c>
      <c r="U22" s="41">
        <v>0.25000000000000006</v>
      </c>
    </row>
    <row r="23" spans="1:21" s="1" customFormat="1" ht="30" customHeight="1" thickBot="1">
      <c r="A23" s="99"/>
      <c r="B23" s="102"/>
      <c r="C23" s="8" t="s">
        <v>11</v>
      </c>
      <c r="D23" s="13">
        <v>454.03455816999997</v>
      </c>
      <c r="E23" s="37">
        <v>3.7922350000000002</v>
      </c>
      <c r="F23" s="57">
        <v>5.771960999999999</v>
      </c>
      <c r="G23" s="57">
        <v>13.75967037</v>
      </c>
      <c r="H23" s="57">
        <v>9.157029000000001</v>
      </c>
      <c r="I23" s="57">
        <v>11.187458</v>
      </c>
      <c r="J23" s="57">
        <v>4.949956</v>
      </c>
      <c r="K23" s="57">
        <v>460.9700000000001</v>
      </c>
      <c r="L23" s="57">
        <v>551.48</v>
      </c>
      <c r="M23" s="57">
        <v>643.3000000000001</v>
      </c>
      <c r="N23" s="57">
        <v>879.1899999999999</v>
      </c>
      <c r="O23" s="57">
        <v>677.1300000000001</v>
      </c>
      <c r="P23" s="57">
        <v>659.0699999999999</v>
      </c>
      <c r="Q23" s="57">
        <v>506.61</v>
      </c>
      <c r="R23" s="57">
        <v>479.9100000000001</v>
      </c>
      <c r="S23" s="57">
        <v>400.89</v>
      </c>
      <c r="T23" s="57">
        <v>380.49000000000007</v>
      </c>
      <c r="U23" s="57">
        <v>401.46999999999997</v>
      </c>
    </row>
    <row r="24" spans="1:21" s="1" customFormat="1" ht="30" customHeight="1" thickBot="1">
      <c r="A24" s="103" t="s">
        <v>12</v>
      </c>
      <c r="B24" s="104"/>
      <c r="C24" s="104"/>
      <c r="D24" s="13">
        <v>9953.527</v>
      </c>
      <c r="E24" s="37">
        <v>9414.431</v>
      </c>
      <c r="F24" s="57">
        <v>8692.914</v>
      </c>
      <c r="G24" s="57">
        <v>7626.938999999999</v>
      </c>
      <c r="H24" s="57">
        <v>7254.573</v>
      </c>
      <c r="I24" s="57">
        <v>8170.015999999998</v>
      </c>
      <c r="J24" s="57">
        <v>8849.812000000002</v>
      </c>
      <c r="K24" s="57">
        <v>10911.59</v>
      </c>
      <c r="L24" s="57">
        <v>12671.91</v>
      </c>
      <c r="M24" s="57">
        <v>14804.379999999997</v>
      </c>
      <c r="N24" s="57">
        <v>17853.45</v>
      </c>
      <c r="O24" s="57">
        <v>14566.500000000002</v>
      </c>
      <c r="P24" s="57">
        <v>14613.119999999999</v>
      </c>
      <c r="Q24" s="57">
        <v>11738.06</v>
      </c>
      <c r="R24" s="57">
        <v>12902.39</v>
      </c>
      <c r="S24" s="57">
        <v>12242.44</v>
      </c>
      <c r="T24" s="57">
        <v>13019.87</v>
      </c>
      <c r="U24" s="57">
        <v>13901.740000000002</v>
      </c>
    </row>
    <row r="25" spans="1:21" s="1" customFormat="1" ht="30" customHeight="1" thickBot="1">
      <c r="A25" s="103" t="s">
        <v>13</v>
      </c>
      <c r="B25" s="104"/>
      <c r="C25" s="104"/>
      <c r="D25" s="13">
        <v>483.52620842749997</v>
      </c>
      <c r="E25" s="37">
        <v>32.733397</v>
      </c>
      <c r="F25" s="57">
        <v>31.866198000000004</v>
      </c>
      <c r="G25" s="57">
        <v>24.60922545</v>
      </c>
      <c r="H25" s="57">
        <v>19.167558</v>
      </c>
      <c r="I25" s="57">
        <v>21.409176</v>
      </c>
      <c r="J25" s="57">
        <v>14.350313</v>
      </c>
      <c r="K25" s="57">
        <v>472.6500000000001</v>
      </c>
      <c r="L25" s="57">
        <v>564.98</v>
      </c>
      <c r="M25" s="57">
        <v>661.8700000000001</v>
      </c>
      <c r="N25" s="57">
        <v>906.81</v>
      </c>
      <c r="O25" s="57">
        <v>714.2600000000001</v>
      </c>
      <c r="P25" s="57">
        <v>698.1199999999999</v>
      </c>
      <c r="Q25" s="57">
        <v>549.096</v>
      </c>
      <c r="R25" s="57">
        <v>563.9100000000001</v>
      </c>
      <c r="S25" s="57">
        <v>512.11</v>
      </c>
      <c r="T25" s="57">
        <v>516.74</v>
      </c>
      <c r="U25" s="57">
        <v>557.05</v>
      </c>
    </row>
    <row r="28" ht="12.75">
      <c r="A28" s="1" t="s">
        <v>18</v>
      </c>
    </row>
    <row r="29" ht="12.75">
      <c r="A29" s="3" t="s">
        <v>19</v>
      </c>
    </row>
    <row r="30" spans="1:20" ht="12.75">
      <c r="A30" s="3" t="s">
        <v>20</v>
      </c>
      <c r="T30" s="94"/>
    </row>
    <row r="32" spans="1:21" ht="18.75">
      <c r="A32" s="2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.75" thickBot="1">
      <c r="A34" s="1"/>
      <c r="B34" s="4"/>
      <c r="C34" s="4"/>
      <c r="D34" s="91" t="s">
        <v>53</v>
      </c>
      <c r="E34" s="91" t="s">
        <v>54</v>
      </c>
      <c r="F34" s="91" t="s">
        <v>55</v>
      </c>
      <c r="G34" s="91" t="s">
        <v>56</v>
      </c>
      <c r="H34" s="91" t="s">
        <v>57</v>
      </c>
      <c r="I34" s="91" t="s">
        <v>58</v>
      </c>
      <c r="J34" s="91" t="s">
        <v>59</v>
      </c>
      <c r="K34" s="91" t="s">
        <v>60</v>
      </c>
      <c r="L34" s="91" t="s">
        <v>61</v>
      </c>
      <c r="M34" s="91" t="s">
        <v>62</v>
      </c>
      <c r="N34" s="91" t="s">
        <v>63</v>
      </c>
      <c r="O34" s="91" t="s">
        <v>64</v>
      </c>
      <c r="P34" s="91" t="s">
        <v>65</v>
      </c>
      <c r="Q34" s="91" t="s">
        <v>66</v>
      </c>
      <c r="R34" s="91" t="s">
        <v>67</v>
      </c>
      <c r="S34" s="91" t="s">
        <v>68</v>
      </c>
      <c r="T34" s="14"/>
      <c r="U34" s="14"/>
    </row>
    <row r="35" spans="1:21" ht="30" customHeight="1">
      <c r="A35" s="98" t="s">
        <v>6</v>
      </c>
      <c r="B35" s="100" t="s">
        <v>7</v>
      </c>
      <c r="C35" s="17" t="s">
        <v>15</v>
      </c>
      <c r="D35" s="87">
        <f>(E4-D4)/D4</f>
        <v>-0.05025583671186896</v>
      </c>
      <c r="E35" s="87">
        <f aca="true" t="shared" si="0" ref="E35:S35">(F4-E4)/E4</f>
        <v>-0.027214168796147194</v>
      </c>
      <c r="F35" s="87">
        <f t="shared" si="0"/>
        <v>-0.7095862386209568</v>
      </c>
      <c r="G35" s="87">
        <f t="shared" si="0"/>
        <v>0.15647860611492057</v>
      </c>
      <c r="H35" s="87">
        <f t="shared" si="0"/>
        <v>-0.22157544738596854</v>
      </c>
      <c r="I35" s="87">
        <f t="shared" si="0"/>
        <v>-0.8926494420521369</v>
      </c>
      <c r="J35" s="87">
        <f t="shared" si="0"/>
        <v>11.273070370290496</v>
      </c>
      <c r="K35" s="87">
        <f t="shared" si="0"/>
        <v>0.1377813702577801</v>
      </c>
      <c r="L35" s="87">
        <f t="shared" si="0"/>
        <v>0.47442471042471007</v>
      </c>
      <c r="M35" s="87">
        <f t="shared" si="0"/>
        <v>0.4468361457645938</v>
      </c>
      <c r="N35" s="87">
        <f t="shared" si="0"/>
        <v>0.41529595737287145</v>
      </c>
      <c r="O35" s="87">
        <f t="shared" si="0"/>
        <v>0.09617784870992174</v>
      </c>
      <c r="P35" s="87">
        <f t="shared" si="0"/>
        <v>0.017447992010975515</v>
      </c>
      <c r="Q35" s="87">
        <f t="shared" si="0"/>
        <v>0.8308788119229654</v>
      </c>
      <c r="R35" s="87">
        <f t="shared" si="0"/>
        <v>0.2762906070261933</v>
      </c>
      <c r="S35" s="87">
        <f t="shared" si="0"/>
        <v>0.24609752985858283</v>
      </c>
      <c r="T35" s="14"/>
      <c r="U35" s="14"/>
    </row>
    <row r="36" spans="1:21" ht="30" customHeight="1" thickBot="1">
      <c r="A36" s="99"/>
      <c r="B36" s="101"/>
      <c r="C36" s="18" t="s">
        <v>14</v>
      </c>
      <c r="D36" s="88">
        <f aca="true" t="shared" si="1" ref="D36:S56">(E5-D5)/D5</f>
        <v>0.6530750011047722</v>
      </c>
      <c r="E36" s="88">
        <f t="shared" si="1"/>
        <v>-0.535735575179907</v>
      </c>
      <c r="F36" s="88">
        <f t="shared" si="1"/>
        <v>0.09852872072167473</v>
      </c>
      <c r="G36" s="88">
        <f t="shared" si="1"/>
        <v>0.0014640318110615436</v>
      </c>
      <c r="H36" s="88">
        <f t="shared" si="1"/>
        <v>-0.0952515596517929</v>
      </c>
      <c r="I36" s="88">
        <f t="shared" si="1"/>
        <v>-0.006828911496775152</v>
      </c>
      <c r="J36" s="88">
        <f t="shared" si="1"/>
        <v>0.003394414948815815</v>
      </c>
      <c r="K36" s="88">
        <f t="shared" si="1"/>
        <v>0.22426102622272667</v>
      </c>
      <c r="L36" s="88">
        <f t="shared" si="1"/>
        <v>-0.1238827120122085</v>
      </c>
      <c r="M36" s="88">
        <f t="shared" si="1"/>
        <v>0.3709486780715398</v>
      </c>
      <c r="N36" s="88">
        <f t="shared" si="1"/>
        <v>-0.2536527815591253</v>
      </c>
      <c r="O36" s="88">
        <f t="shared" si="1"/>
        <v>0.040552042801556346</v>
      </c>
      <c r="P36" s="88">
        <f t="shared" si="1"/>
        <v>-0.16348232544551558</v>
      </c>
      <c r="Q36" s="88">
        <f t="shared" si="1"/>
        <v>0.17322064678354412</v>
      </c>
      <c r="R36" s="88">
        <f t="shared" si="1"/>
        <v>-0.017562659998809245</v>
      </c>
      <c r="S36" s="88">
        <f t="shared" si="1"/>
        <v>0.1411344079505512</v>
      </c>
      <c r="T36" s="14"/>
      <c r="U36" s="14"/>
    </row>
    <row r="37" spans="1:21" ht="30" customHeight="1" thickBot="1">
      <c r="A37" s="99"/>
      <c r="B37" s="102"/>
      <c r="C37" s="8" t="s">
        <v>11</v>
      </c>
      <c r="D37" s="87">
        <f t="shared" si="1"/>
        <v>0.019496473543630734</v>
      </c>
      <c r="E37" s="87">
        <f t="shared" si="1"/>
        <v>-0.10898812447315127</v>
      </c>
      <c r="F37" s="87">
        <f t="shared" si="1"/>
        <v>-0.6418749892555288</v>
      </c>
      <c r="G37" s="87">
        <f t="shared" si="1"/>
        <v>0.11663698725591871</v>
      </c>
      <c r="H37" s="87">
        <f t="shared" si="1"/>
        <v>-0.19245666074526435</v>
      </c>
      <c r="I37" s="87">
        <f t="shared" si="1"/>
        <v>6.6939930966977474</v>
      </c>
      <c r="J37" s="87">
        <f t="shared" si="1"/>
        <v>-0.8395337246785641</v>
      </c>
      <c r="K37" s="87">
        <f t="shared" si="1"/>
        <v>0.15580838989651716</v>
      </c>
      <c r="L37" s="87">
        <f t="shared" si="1"/>
        <v>0.34231870803148096</v>
      </c>
      <c r="M37" s="87">
        <f t="shared" si="1"/>
        <v>0.43589973463386644</v>
      </c>
      <c r="N37" s="87">
        <f t="shared" si="1"/>
        <v>0.32325212591935837</v>
      </c>
      <c r="O37" s="87">
        <f t="shared" si="1"/>
        <v>0.09186090402944255</v>
      </c>
      <c r="P37" s="87">
        <f t="shared" si="1"/>
        <v>0.004066393269060345</v>
      </c>
      <c r="Q37" s="87">
        <f t="shared" si="1"/>
        <v>0.7903550677856683</v>
      </c>
      <c r="R37" s="87">
        <f t="shared" si="1"/>
        <v>0.2644252612448886</v>
      </c>
      <c r="S37" s="87">
        <f t="shared" si="1"/>
        <v>0.24280447995863014</v>
      </c>
      <c r="T37" s="14"/>
      <c r="U37" s="14"/>
    </row>
    <row r="38" spans="1:21" ht="30" customHeight="1">
      <c r="A38" s="99"/>
      <c r="B38" s="100" t="s">
        <v>8</v>
      </c>
      <c r="C38" s="17" t="s">
        <v>15</v>
      </c>
      <c r="D38" s="87">
        <f t="shared" si="1"/>
        <v>0.006679196183316309</v>
      </c>
      <c r="E38" s="87">
        <f t="shared" si="1"/>
        <v>-0.12668887867647033</v>
      </c>
      <c r="F38" s="87">
        <f t="shared" si="1"/>
        <v>-0.6439819504558432</v>
      </c>
      <c r="G38" s="87">
        <f t="shared" si="1"/>
        <v>-0.027621757445865133</v>
      </c>
      <c r="H38" s="87">
        <f t="shared" si="1"/>
        <v>0.060992988656443994</v>
      </c>
      <c r="I38" s="87">
        <f t="shared" si="1"/>
        <v>0.021006823188094582</v>
      </c>
      <c r="J38" s="87">
        <f t="shared" si="1"/>
        <v>0.05035781940644081</v>
      </c>
      <c r="K38" s="87">
        <f t="shared" si="1"/>
        <v>0.11048210677487762</v>
      </c>
      <c r="L38" s="87">
        <f t="shared" si="1"/>
        <v>0.42474322922149194</v>
      </c>
      <c r="M38" s="87">
        <f t="shared" si="1"/>
        <v>0.47405640462720594</v>
      </c>
      <c r="N38" s="87">
        <f t="shared" si="1"/>
        <v>0.3966403643185495</v>
      </c>
      <c r="O38" s="87">
        <f t="shared" si="1"/>
        <v>0.06273711625617791</v>
      </c>
      <c r="P38" s="87">
        <f t="shared" si="1"/>
        <v>0.04578631765313155</v>
      </c>
      <c r="Q38" s="87">
        <f t="shared" si="1"/>
        <v>0.8633130362579576</v>
      </c>
      <c r="R38" s="87">
        <f t="shared" si="1"/>
        <v>0.2597931814749622</v>
      </c>
      <c r="S38" s="87">
        <f t="shared" si="1"/>
        <v>0.20665124678943594</v>
      </c>
      <c r="T38" s="14"/>
      <c r="U38" s="14"/>
    </row>
    <row r="39" spans="1:21" ht="30" customHeight="1" thickBot="1">
      <c r="A39" s="99"/>
      <c r="B39" s="101"/>
      <c r="C39" s="18" t="s">
        <v>14</v>
      </c>
      <c r="D39" s="88">
        <f t="shared" si="1"/>
        <v>0.3532258606589516</v>
      </c>
      <c r="E39" s="88">
        <f t="shared" si="1"/>
        <v>-0.3755143096040333</v>
      </c>
      <c r="F39" s="88">
        <f t="shared" si="1"/>
        <v>0.6764700033804608</v>
      </c>
      <c r="G39" s="88">
        <f t="shared" si="1"/>
        <v>-0.40207335009726247</v>
      </c>
      <c r="H39" s="88">
        <f t="shared" si="1"/>
        <v>-0.07369569529855195</v>
      </c>
      <c r="I39" s="88">
        <f t="shared" si="1"/>
        <v>0.09416425741514105</v>
      </c>
      <c r="J39" s="88">
        <f t="shared" si="1"/>
        <v>-0.0300503666588378</v>
      </c>
      <c r="K39" s="88">
        <f t="shared" si="1"/>
        <v>0.22681105804802623</v>
      </c>
      <c r="L39" s="88">
        <f t="shared" si="1"/>
        <v>-0.1345468501562588</v>
      </c>
      <c r="M39" s="88">
        <f t="shared" si="1"/>
        <v>0.4195121951219516</v>
      </c>
      <c r="N39" s="88">
        <f t="shared" si="1"/>
        <v>-0.2517963136519839</v>
      </c>
      <c r="O39" s="88">
        <f t="shared" si="1"/>
        <v>-0.03238890545779902</v>
      </c>
      <c r="P39" s="88">
        <f t="shared" si="1"/>
        <v>-0.023301689064233938</v>
      </c>
      <c r="Q39" s="88">
        <f t="shared" si="1"/>
        <v>0.039131532441303</v>
      </c>
      <c r="R39" s="88">
        <f t="shared" si="1"/>
        <v>0.011661807580175022</v>
      </c>
      <c r="S39" s="88">
        <f t="shared" si="1"/>
        <v>0.11227185398655114</v>
      </c>
      <c r="T39" s="14"/>
      <c r="U39" s="14"/>
    </row>
    <row r="40" spans="1:21" ht="30" customHeight="1" thickBot="1">
      <c r="A40" s="99"/>
      <c r="B40" s="101"/>
      <c r="C40" s="8" t="s">
        <v>11</v>
      </c>
      <c r="D40" s="87">
        <f t="shared" si="1"/>
        <v>-0.02799010135471406</v>
      </c>
      <c r="E40" s="87">
        <f t="shared" si="1"/>
        <v>-0.15701230739119426</v>
      </c>
      <c r="F40" s="87">
        <f t="shared" si="1"/>
        <v>-0.5247734014231114</v>
      </c>
      <c r="G40" s="87">
        <f t="shared" si="1"/>
        <v>-0.14687646380344627</v>
      </c>
      <c r="H40" s="87">
        <f t="shared" si="1"/>
        <v>0.030928976266383343</v>
      </c>
      <c r="I40" s="87">
        <f t="shared" si="1"/>
        <v>0.03567915816600458</v>
      </c>
      <c r="J40" s="87">
        <f t="shared" si="1"/>
        <v>0.033320615541141956</v>
      </c>
      <c r="K40" s="87">
        <f t="shared" si="1"/>
        <v>0.1336187290969901</v>
      </c>
      <c r="L40" s="87">
        <f t="shared" si="1"/>
        <v>0.3043616795298447</v>
      </c>
      <c r="M40" s="87">
        <f t="shared" si="1"/>
        <v>0.466266771616499</v>
      </c>
      <c r="N40" s="87">
        <f t="shared" si="1"/>
        <v>0.30698793693888254</v>
      </c>
      <c r="O40" s="87">
        <f t="shared" si="1"/>
        <v>0.05520803334954253</v>
      </c>
      <c r="P40" s="87">
        <f t="shared" si="1"/>
        <v>0.0407720425392932</v>
      </c>
      <c r="Q40" s="87">
        <f t="shared" si="1"/>
        <v>0.8071781071600518</v>
      </c>
      <c r="R40" s="87">
        <f t="shared" si="1"/>
        <v>0.2500755245686777</v>
      </c>
      <c r="S40" s="87">
        <f t="shared" si="1"/>
        <v>0.20365997301735597</v>
      </c>
      <c r="T40" s="14"/>
      <c r="U40" s="14"/>
    </row>
    <row r="41" spans="1:21" ht="30" customHeight="1">
      <c r="A41" s="99"/>
      <c r="B41" s="100" t="s">
        <v>9</v>
      </c>
      <c r="C41" s="17" t="s">
        <v>15</v>
      </c>
      <c r="D41" s="87"/>
      <c r="E41" s="87"/>
      <c r="F41" s="87"/>
      <c r="G41" s="87"/>
      <c r="H41" s="87"/>
      <c r="I41" s="87"/>
      <c r="J41" s="87"/>
      <c r="K41" s="87">
        <f t="shared" si="1"/>
        <v>0.12511671335200764</v>
      </c>
      <c r="L41" s="87">
        <f t="shared" si="1"/>
        <v>0.4556016597510375</v>
      </c>
      <c r="M41" s="87">
        <f t="shared" si="1"/>
        <v>0.4726339794754847</v>
      </c>
      <c r="N41" s="87">
        <f t="shared" si="1"/>
        <v>0.39682539682539647</v>
      </c>
      <c r="O41" s="87">
        <f t="shared" si="1"/>
        <v>0.05404656319290454</v>
      </c>
      <c r="P41" s="87">
        <f t="shared" si="1"/>
        <v>0.09087562450696847</v>
      </c>
      <c r="Q41" s="87">
        <f t="shared" si="1"/>
        <v>1.001157016824953</v>
      </c>
      <c r="R41" s="87">
        <f t="shared" si="1"/>
        <v>0.326547819802457</v>
      </c>
      <c r="S41" s="87">
        <f t="shared" si="1"/>
        <v>0.22609643149005726</v>
      </c>
      <c r="T41" s="14"/>
      <c r="U41" s="14"/>
    </row>
    <row r="42" spans="1:21" ht="30" customHeight="1" thickBot="1">
      <c r="A42" s="99"/>
      <c r="B42" s="101"/>
      <c r="C42" s="18" t="s">
        <v>14</v>
      </c>
      <c r="D42" s="88"/>
      <c r="E42" s="88"/>
      <c r="F42" s="88"/>
      <c r="G42" s="88"/>
      <c r="H42" s="88"/>
      <c r="I42" s="88"/>
      <c r="J42" s="88"/>
      <c r="K42" s="88">
        <f t="shared" si="1"/>
        <v>0.4948453608247429</v>
      </c>
      <c r="L42" s="88">
        <f t="shared" si="1"/>
        <v>-0.2896551724137931</v>
      </c>
      <c r="M42" s="88">
        <f t="shared" si="1"/>
        <v>0.7378640776699025</v>
      </c>
      <c r="N42" s="88">
        <f t="shared" si="1"/>
        <v>-0.4134078212290504</v>
      </c>
      <c r="O42" s="88">
        <f t="shared" si="1"/>
        <v>-0.028571428571428602</v>
      </c>
      <c r="P42" s="88">
        <f t="shared" si="1"/>
        <v>-0.019607843137254923</v>
      </c>
      <c r="Q42" s="88">
        <f t="shared" si="1"/>
        <v>-0.02000000000000002</v>
      </c>
      <c r="R42" s="88">
        <f t="shared" si="1"/>
        <v>0.1122448979591838</v>
      </c>
      <c r="S42" s="88">
        <f t="shared" si="1"/>
        <v>0.11926605504587189</v>
      </c>
      <c r="T42" s="14"/>
      <c r="U42" s="14"/>
    </row>
    <row r="43" spans="1:21" ht="30" customHeight="1" thickBot="1">
      <c r="A43" s="105"/>
      <c r="B43" s="102"/>
      <c r="C43" s="8" t="s">
        <v>11</v>
      </c>
      <c r="D43" s="87">
        <f t="shared" si="1"/>
        <v>-0.018665902134791707</v>
      </c>
      <c r="E43" s="87">
        <f t="shared" si="1"/>
        <v>-0.09836940894080187</v>
      </c>
      <c r="F43" s="87">
        <f t="shared" si="1"/>
        <v>-0.5842164275583149</v>
      </c>
      <c r="G43" s="87">
        <f t="shared" si="1"/>
        <v>-0.0773327637689637</v>
      </c>
      <c r="H43" s="87">
        <f t="shared" si="1"/>
        <v>0.021096687297943912</v>
      </c>
      <c r="I43" s="87">
        <f t="shared" si="1"/>
        <v>-0.08035449618156161</v>
      </c>
      <c r="J43" s="87">
        <f t="shared" si="1"/>
        <v>0.24250600269755734</v>
      </c>
      <c r="K43" s="87">
        <f t="shared" si="1"/>
        <v>0.15582191780821902</v>
      </c>
      <c r="L43" s="87">
        <f t="shared" si="1"/>
        <v>0.3755555555555556</v>
      </c>
      <c r="M43" s="87">
        <f t="shared" si="1"/>
        <v>0.487345180398492</v>
      </c>
      <c r="N43" s="87">
        <f t="shared" si="1"/>
        <v>0.34431571325126714</v>
      </c>
      <c r="O43" s="87">
        <f t="shared" si="1"/>
        <v>0.05171020737947756</v>
      </c>
      <c r="P43" s="87">
        <f t="shared" si="1"/>
        <v>0.08798975672215109</v>
      </c>
      <c r="Q43" s="87">
        <f t="shared" si="1"/>
        <v>0.977121875441322</v>
      </c>
      <c r="R43" s="87">
        <f t="shared" si="1"/>
        <v>0.32404761904761903</v>
      </c>
      <c r="S43" s="87">
        <f t="shared" si="1"/>
        <v>0.22504945153749326</v>
      </c>
      <c r="T43" s="14"/>
      <c r="U43" s="14"/>
    </row>
    <row r="44" spans="1:21" ht="30" customHeight="1">
      <c r="A44" s="98" t="s">
        <v>10</v>
      </c>
      <c r="B44" s="100" t="s">
        <v>8</v>
      </c>
      <c r="C44" s="17" t="s">
        <v>15</v>
      </c>
      <c r="D44" s="87">
        <f t="shared" si="1"/>
        <v>-0.005709071393943925</v>
      </c>
      <c r="E44" s="87">
        <f t="shared" si="1"/>
        <v>-0.04762667410293716</v>
      </c>
      <c r="F44" s="87">
        <f t="shared" si="1"/>
        <v>-0.06016574556207152</v>
      </c>
      <c r="G44" s="87">
        <f t="shared" si="1"/>
        <v>0.010419603304698424</v>
      </c>
      <c r="H44" s="87">
        <f t="shared" si="1"/>
        <v>0.10063513655147405</v>
      </c>
      <c r="I44" s="87">
        <f t="shared" si="1"/>
        <v>0.054697720822735094</v>
      </c>
      <c r="J44" s="87">
        <f t="shared" si="1"/>
        <v>0.24575586765016494</v>
      </c>
      <c r="K44" s="87">
        <f aca="true" t="shared" si="2" ref="K44:S44">(L13-K13)/K13</f>
        <v>0.1424697490045625</v>
      </c>
      <c r="L44" s="87">
        <f t="shared" si="2"/>
        <v>0.11356963199140188</v>
      </c>
      <c r="M44" s="87">
        <f t="shared" si="2"/>
        <v>0.22890674202031508</v>
      </c>
      <c r="N44" s="87">
        <f t="shared" si="2"/>
        <v>-0.27900773747586466</v>
      </c>
      <c r="O44" s="87">
        <f t="shared" si="2"/>
        <v>-0.0454445802238164</v>
      </c>
      <c r="P44" s="87">
        <f t="shared" si="2"/>
        <v>-0.37691204884298635</v>
      </c>
      <c r="Q44" s="87">
        <f t="shared" si="2"/>
        <v>-0.0925707371740835</v>
      </c>
      <c r="R44" s="87">
        <f t="shared" si="2"/>
        <v>-0.23974010076833124</v>
      </c>
      <c r="S44" s="87">
        <f t="shared" si="2"/>
        <v>-0.058293740071735024</v>
      </c>
      <c r="T44" s="14"/>
      <c r="U44" s="14"/>
    </row>
    <row r="45" spans="1:21" ht="30" customHeight="1">
      <c r="A45" s="99"/>
      <c r="B45" s="101"/>
      <c r="C45" s="19" t="s">
        <v>3</v>
      </c>
      <c r="D45" s="89">
        <f t="shared" si="1"/>
        <v>5.039168581575101</v>
      </c>
      <c r="E45" s="89">
        <f t="shared" si="1"/>
        <v>0.002006260917691164</v>
      </c>
      <c r="F45" s="89">
        <f t="shared" si="1"/>
        <v>-0.26458962630534233</v>
      </c>
      <c r="G45" s="89">
        <f t="shared" si="1"/>
        <v>-0.12580387738816112</v>
      </c>
      <c r="H45" s="89">
        <f t="shared" si="1"/>
        <v>-0.15271438543736246</v>
      </c>
      <c r="I45" s="89">
        <f t="shared" si="1"/>
        <v>-0.2053995817225426</v>
      </c>
      <c r="J45" s="89">
        <f t="shared" si="1"/>
        <v>-1</v>
      </c>
      <c r="K45" s="89"/>
      <c r="L45" s="89"/>
      <c r="M45" s="89"/>
      <c r="N45" s="89"/>
      <c r="O45" s="89"/>
      <c r="P45" s="89"/>
      <c r="Q45" s="89"/>
      <c r="R45" s="89"/>
      <c r="S45" s="89"/>
      <c r="T45" s="14"/>
      <c r="U45" s="14"/>
    </row>
    <row r="46" spans="1:21" ht="30" customHeight="1" thickBot="1">
      <c r="A46" s="99"/>
      <c r="B46" s="101"/>
      <c r="C46" s="18" t="s">
        <v>4</v>
      </c>
      <c r="D46" s="88">
        <f t="shared" si="1"/>
        <v>0.0016901979071932472</v>
      </c>
      <c r="E46" s="88">
        <f t="shared" si="1"/>
        <v>-0.09699395420361925</v>
      </c>
      <c r="F46" s="88">
        <f t="shared" si="1"/>
        <v>0.4337456201331574</v>
      </c>
      <c r="G46" s="88">
        <f t="shared" si="1"/>
        <v>-0.5120566614274696</v>
      </c>
      <c r="H46" s="88">
        <f t="shared" si="1"/>
        <v>0.9077391968361627</v>
      </c>
      <c r="I46" s="88">
        <f t="shared" si="1"/>
        <v>0.4993794899582249</v>
      </c>
      <c r="J46" s="88">
        <f t="shared" si="1"/>
        <v>0.32945524067101106</v>
      </c>
      <c r="K46" s="88">
        <f aca="true" t="shared" si="3" ref="K46:S46">(L15-K15)/K15</f>
        <v>0.3286859227302223</v>
      </c>
      <c r="L46" s="88">
        <f t="shared" si="3"/>
        <v>0.46443514644351475</v>
      </c>
      <c r="M46" s="88">
        <f t="shared" si="3"/>
        <v>-0.04243352861649405</v>
      </c>
      <c r="N46" s="88">
        <f t="shared" si="3"/>
        <v>0.07142184823327863</v>
      </c>
      <c r="O46" s="88">
        <f t="shared" si="3"/>
        <v>0.17215584643767015</v>
      </c>
      <c r="P46" s="88">
        <f t="shared" si="3"/>
        <v>0.25985467654476446</v>
      </c>
      <c r="Q46" s="88">
        <f t="shared" si="3"/>
        <v>-0.04560434984354383</v>
      </c>
      <c r="R46" s="88">
        <f t="shared" si="3"/>
        <v>-0.12314251520893572</v>
      </c>
      <c r="S46" s="88">
        <f t="shared" si="3"/>
        <v>-0.017611390713412445</v>
      </c>
      <c r="T46" s="14"/>
      <c r="U46" s="14"/>
    </row>
    <row r="47" spans="1:21" ht="30" customHeight="1" thickBot="1">
      <c r="A47" s="99"/>
      <c r="B47" s="101"/>
      <c r="C47" s="8" t="s">
        <v>11</v>
      </c>
      <c r="D47" s="87">
        <f t="shared" si="1"/>
        <v>-0.06090568477150017</v>
      </c>
      <c r="E47" s="87">
        <f t="shared" si="1"/>
        <v>-0.055201226580301896</v>
      </c>
      <c r="F47" s="87">
        <f t="shared" si="1"/>
        <v>-0.02691793413841813</v>
      </c>
      <c r="G47" s="87">
        <f t="shared" si="1"/>
        <v>-0.03742578966818004</v>
      </c>
      <c r="H47" s="87">
        <f t="shared" si="1"/>
        <v>0.13600133676891407</v>
      </c>
      <c r="I47" s="87">
        <f t="shared" si="1"/>
        <v>0.08764925468521204</v>
      </c>
      <c r="J47" s="87">
        <f t="shared" si="1"/>
        <v>0.2507469467474959</v>
      </c>
      <c r="K47" s="87">
        <f t="shared" si="1"/>
        <v>0.16336337045421662</v>
      </c>
      <c r="L47" s="87">
        <f t="shared" si="1"/>
        <v>0.15853145960135412</v>
      </c>
      <c r="M47" s="87">
        <f t="shared" si="1"/>
        <v>0.18495462107337066</v>
      </c>
      <c r="N47" s="87">
        <f t="shared" si="1"/>
        <v>-0.23313722832782993</v>
      </c>
      <c r="O47" s="87">
        <f t="shared" si="1"/>
        <v>-0.005648950501794484</v>
      </c>
      <c r="P47" s="87">
        <f t="shared" si="1"/>
        <v>-0.2396338345178263</v>
      </c>
      <c r="Q47" s="87">
        <f t="shared" si="1"/>
        <v>-0.07579405470992864</v>
      </c>
      <c r="R47" s="87">
        <f t="shared" si="1"/>
        <v>-0.19673022581008584</v>
      </c>
      <c r="S47" s="87">
        <f t="shared" si="1"/>
        <v>-0.04191229403438561</v>
      </c>
      <c r="T47" s="14"/>
      <c r="U47" s="14"/>
    </row>
    <row r="48" spans="1:21" ht="30" customHeight="1">
      <c r="A48" s="99"/>
      <c r="B48" s="100" t="s">
        <v>9</v>
      </c>
      <c r="C48" s="17" t="s">
        <v>15</v>
      </c>
      <c r="D48" s="87"/>
      <c r="E48" s="87"/>
      <c r="F48" s="87"/>
      <c r="G48" s="87"/>
      <c r="H48" s="87"/>
      <c r="I48" s="87"/>
      <c r="J48" s="87"/>
      <c r="K48" s="87">
        <f t="shared" si="1"/>
        <v>0.18348961206104056</v>
      </c>
      <c r="L48" s="87">
        <f t="shared" si="1"/>
        <v>0.15348764952617672</v>
      </c>
      <c r="M48" s="87">
        <f t="shared" si="1"/>
        <v>0.3893602693602693</v>
      </c>
      <c r="N48" s="87">
        <f t="shared" si="1"/>
        <v>-0.2430811360992633</v>
      </c>
      <c r="O48" s="87">
        <f t="shared" si="1"/>
        <v>-0.04165399330846684</v>
      </c>
      <c r="P48" s="87">
        <f t="shared" si="1"/>
        <v>-0.29466299173139554</v>
      </c>
      <c r="Q48" s="87">
        <f t="shared" si="1"/>
        <v>-0.07325044404973372</v>
      </c>
      <c r="R48" s="87">
        <f t="shared" si="1"/>
        <v>-0.1907134825718081</v>
      </c>
      <c r="S48" s="87">
        <f t="shared" si="1"/>
        <v>-0.06072184154851752</v>
      </c>
      <c r="T48" s="14"/>
      <c r="U48" s="14"/>
    </row>
    <row r="49" spans="1:21" ht="30" customHeight="1">
      <c r="A49" s="99"/>
      <c r="B49" s="101"/>
      <c r="C49" s="20" t="s">
        <v>4</v>
      </c>
      <c r="D49" s="89"/>
      <c r="E49" s="89"/>
      <c r="F49" s="89"/>
      <c r="G49" s="89"/>
      <c r="H49" s="89"/>
      <c r="I49" s="89"/>
      <c r="J49" s="89"/>
      <c r="K49" s="89">
        <f t="shared" si="1"/>
        <v>0.5220883534136549</v>
      </c>
      <c r="L49" s="89">
        <f t="shared" si="1"/>
        <v>0.4896343761779114</v>
      </c>
      <c r="M49" s="89">
        <f t="shared" si="1"/>
        <v>0.07439271255060742</v>
      </c>
      <c r="N49" s="89">
        <f t="shared" si="1"/>
        <v>0.04686764013188872</v>
      </c>
      <c r="O49" s="89">
        <f t="shared" si="1"/>
        <v>0.17817772778402705</v>
      </c>
      <c r="P49" s="89">
        <f t="shared" si="1"/>
        <v>0.4351728088600341</v>
      </c>
      <c r="Q49" s="89">
        <f t="shared" si="1"/>
        <v>0.044172432144758335</v>
      </c>
      <c r="R49" s="89">
        <f t="shared" si="1"/>
        <v>-0.06893476044852222</v>
      </c>
      <c r="S49" s="89">
        <f t="shared" si="1"/>
        <v>-0.009442999863144706</v>
      </c>
      <c r="T49" s="14"/>
      <c r="U49" s="14"/>
    </row>
    <row r="50" spans="1:21" ht="30" customHeight="1">
      <c r="A50" s="99"/>
      <c r="B50" s="101"/>
      <c r="C50" s="20" t="s">
        <v>3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14"/>
      <c r="U50" s="14"/>
    </row>
    <row r="51" spans="1:21" ht="30" customHeight="1">
      <c r="A51" s="99"/>
      <c r="B51" s="101"/>
      <c r="C51" s="20" t="s">
        <v>16</v>
      </c>
      <c r="D51" s="89">
        <f t="shared" si="1"/>
        <v>-0.007731774310174206</v>
      </c>
      <c r="E51" s="89">
        <f t="shared" si="1"/>
        <v>0.5553271343605263</v>
      </c>
      <c r="F51" s="89">
        <f t="shared" si="1"/>
        <v>1.5214546510787907</v>
      </c>
      <c r="G51" s="89">
        <f t="shared" si="1"/>
        <v>-0.3387543568591041</v>
      </c>
      <c r="H51" s="89">
        <f t="shared" si="1"/>
        <v>0.21230343695212645</v>
      </c>
      <c r="I51" s="89">
        <f t="shared" si="1"/>
        <v>-0.5425994636203254</v>
      </c>
      <c r="J51" s="89">
        <f t="shared" si="1"/>
        <v>0.30635752522979254</v>
      </c>
      <c r="K51" s="89">
        <f t="shared" si="1"/>
        <v>0.22897196261682257</v>
      </c>
      <c r="L51" s="89">
        <f t="shared" si="1"/>
        <v>-0.13561470215462604</v>
      </c>
      <c r="M51" s="89">
        <f t="shared" si="1"/>
        <v>0.1348973607038123</v>
      </c>
      <c r="N51" s="89">
        <f t="shared" si="1"/>
        <v>-0.47416020671834624</v>
      </c>
      <c r="O51" s="89">
        <f t="shared" si="1"/>
        <v>0.20884520884520874</v>
      </c>
      <c r="P51" s="89">
        <f t="shared" si="1"/>
        <v>0.32113821138211385</v>
      </c>
      <c r="Q51" s="89">
        <f t="shared" si="1"/>
        <v>0.09230769230769212</v>
      </c>
      <c r="R51" s="89">
        <f t="shared" si="1"/>
        <v>0.06901408450704243</v>
      </c>
      <c r="S51" s="89">
        <f t="shared" si="1"/>
        <v>-0.09617918313570493</v>
      </c>
      <c r="T51" s="14"/>
      <c r="U51" s="14"/>
    </row>
    <row r="52" spans="1:21" ht="30" customHeight="1">
      <c r="A52" s="99"/>
      <c r="B52" s="101"/>
      <c r="C52" s="20" t="s">
        <v>5</v>
      </c>
      <c r="D52" s="89"/>
      <c r="E52" s="89"/>
      <c r="F52" s="89"/>
      <c r="G52" s="89"/>
      <c r="H52" s="89"/>
      <c r="I52" s="89"/>
      <c r="J52" s="89"/>
      <c r="K52" s="89">
        <f t="shared" si="1"/>
        <v>0.36428571428571394</v>
      </c>
      <c r="L52" s="89">
        <f t="shared" si="1"/>
        <v>0.36125654450261785</v>
      </c>
      <c r="M52" s="89">
        <f t="shared" si="1"/>
        <v>0.1692307692307694</v>
      </c>
      <c r="N52" s="89">
        <f t="shared" si="1"/>
        <v>0.13486842105263164</v>
      </c>
      <c r="O52" s="89">
        <f t="shared" si="1"/>
        <v>-0.2521739130434784</v>
      </c>
      <c r="P52" s="89">
        <f t="shared" si="1"/>
        <v>-0.10077519379844954</v>
      </c>
      <c r="Q52" s="89">
        <f t="shared" si="1"/>
        <v>0.1465517241379312</v>
      </c>
      <c r="R52" s="89">
        <f t="shared" si="1"/>
        <v>0.18045112781954886</v>
      </c>
      <c r="S52" s="89">
        <f t="shared" si="1"/>
        <v>0.09235668789808932</v>
      </c>
      <c r="T52" s="14"/>
      <c r="U52" s="14"/>
    </row>
    <row r="53" spans="1:21" ht="30" customHeight="1" thickBot="1">
      <c r="A53" s="99"/>
      <c r="B53" s="101"/>
      <c r="C53" s="18" t="s">
        <v>17</v>
      </c>
      <c r="D53" s="88">
        <f t="shared" si="1"/>
        <v>1.0712609038251517</v>
      </c>
      <c r="E53" s="88">
        <f t="shared" si="1"/>
        <v>0.2183959292205506</v>
      </c>
      <c r="F53" s="88">
        <f t="shared" si="1"/>
        <v>-0.21848303047699602</v>
      </c>
      <c r="G53" s="88">
        <f t="shared" si="1"/>
        <v>-0.17471613597884203</v>
      </c>
      <c r="H53" s="88">
        <f t="shared" si="1"/>
        <v>0.5056955811259346</v>
      </c>
      <c r="I53" s="88">
        <f t="shared" si="1"/>
        <v>-0.9198380877385758</v>
      </c>
      <c r="J53" s="88">
        <f t="shared" si="1"/>
        <v>15.888088268408017</v>
      </c>
      <c r="K53" s="88">
        <f t="shared" si="1"/>
        <v>-0.6833333333333333</v>
      </c>
      <c r="L53" s="88">
        <f t="shared" si="1"/>
        <v>0.8947368421052634</v>
      </c>
      <c r="M53" s="88">
        <f t="shared" si="1"/>
        <v>0.8611111111111113</v>
      </c>
      <c r="N53" s="88">
        <f t="shared" si="1"/>
        <v>-0.2686567164179106</v>
      </c>
      <c r="O53" s="88">
        <f t="shared" si="1"/>
        <v>0.12244897959183684</v>
      </c>
      <c r="P53" s="88">
        <f t="shared" si="1"/>
        <v>-0.30909090909090914</v>
      </c>
      <c r="Q53" s="88">
        <f t="shared" si="1"/>
        <v>-0.0789473684210527</v>
      </c>
      <c r="R53" s="88">
        <f t="shared" si="1"/>
        <v>0.142857142857143</v>
      </c>
      <c r="S53" s="88">
        <f t="shared" si="1"/>
        <v>-0.09999999999999995</v>
      </c>
      <c r="T53" s="14"/>
      <c r="U53" s="14"/>
    </row>
    <row r="54" spans="1:21" ht="30" customHeight="1" thickBot="1">
      <c r="A54" s="99"/>
      <c r="B54" s="102"/>
      <c r="C54" s="8" t="s">
        <v>11</v>
      </c>
      <c r="D54" s="87">
        <f t="shared" si="1"/>
        <v>-0.9916476952431006</v>
      </c>
      <c r="E54" s="87">
        <f aca="true" t="shared" si="4" ref="E54:S56">(F23-E23)/E23</f>
        <v>0.5220472887360617</v>
      </c>
      <c r="F54" s="87">
        <f t="shared" si="4"/>
        <v>1.3838813827744163</v>
      </c>
      <c r="G54" s="87">
        <f t="shared" si="4"/>
        <v>-0.3345022988366835</v>
      </c>
      <c r="H54" s="87">
        <f t="shared" si="4"/>
        <v>0.22173447304797197</v>
      </c>
      <c r="I54" s="87">
        <f t="shared" si="4"/>
        <v>-0.5575441713390119</v>
      </c>
      <c r="J54" s="87">
        <f t="shared" si="4"/>
        <v>92.12608031263309</v>
      </c>
      <c r="K54" s="87">
        <f t="shared" si="4"/>
        <v>0.19634683385035884</v>
      </c>
      <c r="L54" s="87">
        <f t="shared" si="4"/>
        <v>0.16649742511061152</v>
      </c>
      <c r="M54" s="87">
        <f t="shared" si="4"/>
        <v>0.3666873931291774</v>
      </c>
      <c r="N54" s="87">
        <f t="shared" si="4"/>
        <v>-0.2298251799952227</v>
      </c>
      <c r="O54" s="87">
        <f t="shared" si="4"/>
        <v>-0.026671392494794458</v>
      </c>
      <c r="P54" s="87">
        <f t="shared" si="4"/>
        <v>-0.23132595930629513</v>
      </c>
      <c r="Q54" s="87">
        <f t="shared" si="4"/>
        <v>-0.05270326286492555</v>
      </c>
      <c r="R54" s="87">
        <f t="shared" si="4"/>
        <v>-0.1646558729761832</v>
      </c>
      <c r="S54" s="87">
        <f t="shared" si="4"/>
        <v>-0.0508867769213498</v>
      </c>
      <c r="T54" s="14"/>
      <c r="U54" s="14"/>
    </row>
    <row r="55" spans="1:21" ht="30" customHeight="1" thickBot="1">
      <c r="A55" s="103" t="s">
        <v>12</v>
      </c>
      <c r="B55" s="104"/>
      <c r="C55" s="104"/>
      <c r="D55" s="87">
        <f t="shared" si="1"/>
        <v>-0.05416130382727646</v>
      </c>
      <c r="E55" s="87">
        <f t="shared" si="4"/>
        <v>-0.07663946976721162</v>
      </c>
      <c r="F55" s="87">
        <f t="shared" si="4"/>
        <v>-0.12262573861883382</v>
      </c>
      <c r="G55" s="87">
        <f t="shared" si="4"/>
        <v>-0.04882246993190834</v>
      </c>
      <c r="H55" s="87">
        <f t="shared" si="4"/>
        <v>0.1261884055753519</v>
      </c>
      <c r="I55" s="87">
        <f t="shared" si="4"/>
        <v>0.0832062017993605</v>
      </c>
      <c r="J55" s="87">
        <f t="shared" si="4"/>
        <v>0.23297421459348494</v>
      </c>
      <c r="K55" s="87">
        <f t="shared" si="4"/>
        <v>0.161325709635351</v>
      </c>
      <c r="L55" s="87">
        <f t="shared" si="4"/>
        <v>0.16828323433483963</v>
      </c>
      <c r="M55" s="87">
        <f t="shared" si="4"/>
        <v>0.20595729101792873</v>
      </c>
      <c r="N55" s="87">
        <f t="shared" si="4"/>
        <v>-0.18410727338413577</v>
      </c>
      <c r="O55" s="87">
        <f t="shared" si="4"/>
        <v>0.003200494284831439</v>
      </c>
      <c r="P55" s="87">
        <f t="shared" si="4"/>
        <v>-0.19674511671703235</v>
      </c>
      <c r="Q55" s="87">
        <f t="shared" si="4"/>
        <v>0.09919271157244042</v>
      </c>
      <c r="R55" s="87">
        <f t="shared" si="4"/>
        <v>-0.051149438204859635</v>
      </c>
      <c r="S55" s="87">
        <f t="shared" si="4"/>
        <v>0.06350286380819511</v>
      </c>
      <c r="T55" s="14"/>
      <c r="U55" s="14"/>
    </row>
    <row r="56" spans="1:21" ht="30" customHeight="1" thickBot="1">
      <c r="A56" s="103" t="s">
        <v>13</v>
      </c>
      <c r="B56" s="104"/>
      <c r="C56" s="104"/>
      <c r="D56" s="90">
        <f t="shared" si="1"/>
        <v>-0.9323027450643183</v>
      </c>
      <c r="E56" s="90">
        <f t="shared" si="4"/>
        <v>-0.02649278961178372</v>
      </c>
      <c r="F56" s="90">
        <f t="shared" si="4"/>
        <v>-0.22773261341061155</v>
      </c>
      <c r="G56" s="90">
        <f t="shared" si="4"/>
        <v>-0.22112306870673984</v>
      </c>
      <c r="H56" s="90">
        <f t="shared" si="4"/>
        <v>0.116948543992928</v>
      </c>
      <c r="I56" s="90">
        <f t="shared" si="4"/>
        <v>-0.3297120356243509</v>
      </c>
      <c r="J56" s="90">
        <f t="shared" si="4"/>
        <v>31.93656382268457</v>
      </c>
      <c r="K56" s="90">
        <f t="shared" si="4"/>
        <v>0.195345392996932</v>
      </c>
      <c r="L56" s="90">
        <f t="shared" si="4"/>
        <v>0.17149279620517557</v>
      </c>
      <c r="M56" s="90">
        <f t="shared" si="4"/>
        <v>0.37007267288138124</v>
      </c>
      <c r="N56" s="90">
        <f t="shared" si="4"/>
        <v>-0.2123377554283696</v>
      </c>
      <c r="O56" s="90">
        <f t="shared" si="4"/>
        <v>-0.022596813485285767</v>
      </c>
      <c r="P56" s="90">
        <f t="shared" si="4"/>
        <v>-0.21346473385664344</v>
      </c>
      <c r="Q56" s="90">
        <f t="shared" si="4"/>
        <v>0.0269788889374537</v>
      </c>
      <c r="R56" s="90">
        <f t="shared" si="4"/>
        <v>-0.09185862992321481</v>
      </c>
      <c r="S56" s="90">
        <f t="shared" si="4"/>
        <v>0.009041026341996827</v>
      </c>
      <c r="T56" s="14"/>
      <c r="U56" s="14"/>
    </row>
    <row r="59" ht="12.75">
      <c r="A59" s="1" t="s">
        <v>18</v>
      </c>
    </row>
    <row r="60" ht="12.75">
      <c r="A60" s="3" t="s">
        <v>19</v>
      </c>
    </row>
    <row r="61" ht="12.75">
      <c r="A61" s="3" t="s">
        <v>20</v>
      </c>
    </row>
  </sheetData>
  <sheetProtection/>
  <mergeCells count="18">
    <mergeCell ref="A44:A54"/>
    <mergeCell ref="B44:B47"/>
    <mergeCell ref="B48:B54"/>
    <mergeCell ref="A55:C55"/>
    <mergeCell ref="A56:C56"/>
    <mergeCell ref="A24:C24"/>
    <mergeCell ref="A25:C25"/>
    <mergeCell ref="A35:A43"/>
    <mergeCell ref="B35:B37"/>
    <mergeCell ref="B38:B40"/>
    <mergeCell ref="B41:B43"/>
    <mergeCell ref="A4:A12"/>
    <mergeCell ref="B4:B6"/>
    <mergeCell ref="B7:B9"/>
    <mergeCell ref="B10:B12"/>
    <mergeCell ref="A13:A23"/>
    <mergeCell ref="B13:B16"/>
    <mergeCell ref="B17:B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2010-01-25T19:53:52Z</cp:lastPrinted>
  <dcterms:created xsi:type="dcterms:W3CDTF">2006-02-24T09:38:25Z</dcterms:created>
  <dcterms:modified xsi:type="dcterms:W3CDTF">2020-03-09T12:10:04Z</dcterms:modified>
  <cp:category/>
  <cp:version/>
  <cp:contentType/>
  <cp:contentStatus/>
</cp:coreProperties>
</file>