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15" windowHeight="4260" tabRatio="601" activeTab="0"/>
  </bookViews>
  <sheets>
    <sheet name="3." sheetId="1" r:id="rId1"/>
    <sheet name="3.1-2-3-4" sheetId="2" r:id="rId2"/>
    <sheet name="3.5-6" sheetId="3" r:id="rId3"/>
    <sheet name="3.7-8" sheetId="4" r:id="rId4"/>
    <sheet name="3.9-10" sheetId="5" r:id="rId5"/>
    <sheet name="3.11-12" sheetId="6" r:id="rId6"/>
    <sheet name="3.13-14" sheetId="7" r:id="rId7"/>
    <sheet name="3.15" sheetId="8" r:id="rId8"/>
    <sheet name="3.16" sheetId="9" r:id="rId9"/>
  </sheets>
  <definedNames/>
  <calcPr fullCalcOnLoad="1"/>
</workbook>
</file>

<file path=xl/sharedStrings.xml><?xml version="1.0" encoding="utf-8"?>
<sst xmlns="http://schemas.openxmlformats.org/spreadsheetml/2006/main" count="588" uniqueCount="234">
  <si>
    <t>Imported vegetables (in tons)</t>
  </si>
  <si>
    <t>Table 3.13 - Exports of vegetables by country</t>
  </si>
  <si>
    <t>Total vegetables</t>
  </si>
  <si>
    <t>Table 3.14 - Imports of vegetables by country</t>
  </si>
  <si>
    <t>China</t>
  </si>
  <si>
    <t>Table 3.15 - Exports of Agricultural products by country</t>
  </si>
  <si>
    <t>Agricultural Products (in tons)</t>
  </si>
  <si>
    <t>Charika</t>
  </si>
  <si>
    <t>Canada</t>
  </si>
  <si>
    <t>Brazil</t>
  </si>
  <si>
    <t>Australia</t>
  </si>
  <si>
    <t>Germany</t>
  </si>
  <si>
    <t>Italy</t>
  </si>
  <si>
    <t>Belgium</t>
  </si>
  <si>
    <t>Denmark</t>
  </si>
  <si>
    <t>Spain</t>
  </si>
  <si>
    <t>Portugal</t>
  </si>
  <si>
    <t>Russia</t>
  </si>
  <si>
    <t>Switzerland</t>
  </si>
  <si>
    <t>Bulgaria</t>
  </si>
  <si>
    <t>Cyprus</t>
  </si>
  <si>
    <t>Greece</t>
  </si>
  <si>
    <t>Lutuania</t>
  </si>
  <si>
    <t>Malaysia</t>
  </si>
  <si>
    <t>Japan</t>
  </si>
  <si>
    <t>Congo</t>
  </si>
  <si>
    <t>Tanzania</t>
  </si>
  <si>
    <t>Abidjan</t>
  </si>
  <si>
    <t>Guinea</t>
  </si>
  <si>
    <t>South Africa</t>
  </si>
  <si>
    <t>Mexico</t>
  </si>
  <si>
    <t>Total of agricultural products</t>
  </si>
  <si>
    <t>Austria</t>
  </si>
  <si>
    <t>United Kingdom</t>
  </si>
  <si>
    <t>Table 3.16 - Imports of Agricultural products</t>
  </si>
  <si>
    <t>Imported Agricultural Products (in tons)</t>
  </si>
  <si>
    <t>Libya</t>
  </si>
  <si>
    <t>New-Zealand</t>
  </si>
  <si>
    <t>Norway</t>
  </si>
  <si>
    <t>Netherlands</t>
  </si>
  <si>
    <t>Finland</t>
  </si>
  <si>
    <t>Yugoslavia</t>
  </si>
  <si>
    <t>Azarbeijan</t>
  </si>
  <si>
    <t>Latvia</t>
  </si>
  <si>
    <t>Poland</t>
  </si>
  <si>
    <t>Romania</t>
  </si>
  <si>
    <t>Ukrain</t>
  </si>
  <si>
    <t>Moldavia</t>
  </si>
  <si>
    <t>Iran</t>
  </si>
  <si>
    <t>Uzbekistan</t>
  </si>
  <si>
    <t>Tunisia</t>
  </si>
  <si>
    <t>Morocco</t>
  </si>
  <si>
    <t>Taïwan</t>
  </si>
  <si>
    <t>Afghanistan</t>
  </si>
  <si>
    <t>Chile</t>
  </si>
  <si>
    <t>Burma</t>
  </si>
  <si>
    <t>Indonesia</t>
  </si>
  <si>
    <t>Myanmar</t>
  </si>
  <si>
    <t>Ecuador</t>
  </si>
  <si>
    <t>Gabon</t>
  </si>
  <si>
    <t>Sierra Leone</t>
  </si>
  <si>
    <t>Guinee</t>
  </si>
  <si>
    <t>Mozambique</t>
  </si>
  <si>
    <t>Somalia</t>
  </si>
  <si>
    <t>Thaïland</t>
  </si>
  <si>
    <t>Vietnam</t>
  </si>
  <si>
    <t>Argentina</t>
  </si>
  <si>
    <t>Colombia</t>
  </si>
  <si>
    <t>Costarica</t>
  </si>
  <si>
    <t>Guatemala</t>
  </si>
  <si>
    <t>Peru</t>
  </si>
  <si>
    <t>Miscellaneous</t>
  </si>
  <si>
    <t>Kenya</t>
  </si>
  <si>
    <t>Ghana</t>
  </si>
  <si>
    <t>Table 3.16 - Imports of Agricultural products Cont.</t>
  </si>
  <si>
    <t>Total</t>
  </si>
  <si>
    <t>Table made by CAS</t>
  </si>
  <si>
    <t>January</t>
  </si>
  <si>
    <t>Febraury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</si>
  <si>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</si>
  <si>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</si>
  <si>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</si>
  <si>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</si>
  <si>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</si>
  <si>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</si>
  <si>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</si>
  <si>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</si>
  <si>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</si>
  <si>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</si>
  <si>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2007</t>
  </si>
  <si>
    <t>Philippines</t>
  </si>
  <si>
    <t>Sri Lanka</t>
  </si>
  <si>
    <t>Egypt</t>
  </si>
  <si>
    <t>Ethiopia</t>
  </si>
  <si>
    <t>India</t>
  </si>
  <si>
    <t>Bengladesh</t>
  </si>
  <si>
    <t>United States</t>
  </si>
  <si>
    <t>Pakistan</t>
  </si>
  <si>
    <t>Burkina Faso</t>
  </si>
  <si>
    <t>Turkey</t>
  </si>
  <si>
    <t>Togo</t>
  </si>
  <si>
    <t>Senegal</t>
  </si>
  <si>
    <t>Ivory Coast</t>
  </si>
  <si>
    <t>France</t>
  </si>
  <si>
    <t>Nigeria</t>
  </si>
  <si>
    <t>Jordan</t>
  </si>
  <si>
    <t>Syria</t>
  </si>
  <si>
    <t>South Lebanon</t>
  </si>
  <si>
    <t>40-45%</t>
  </si>
  <si>
    <t>35-40%</t>
  </si>
  <si>
    <t>25-30%</t>
  </si>
  <si>
    <t>10-15%</t>
  </si>
  <si>
    <t>Nabatieh</t>
  </si>
  <si>
    <t>1 Dounam = 1000 m2</t>
  </si>
  <si>
    <t>Table 3.1 - Volume of executed works by the Green Project</t>
  </si>
  <si>
    <t>Source:  Ministry of Agriculture - Green Project</t>
  </si>
  <si>
    <t>Year</t>
  </si>
  <si>
    <t>Farmers</t>
  </si>
  <si>
    <t>Number of villages where work was done</t>
  </si>
  <si>
    <t>Walls in square meters</t>
  </si>
  <si>
    <t>South Bekaa</t>
  </si>
  <si>
    <t>North Bekaa</t>
  </si>
  <si>
    <t>North Lebanon 1</t>
  </si>
  <si>
    <t>North Lebanon 2</t>
  </si>
  <si>
    <t>Mount-Lebanon 1</t>
  </si>
  <si>
    <t>Mount-Lebanon 2</t>
  </si>
  <si>
    <t>1 dounam = 1000 m2</t>
  </si>
  <si>
    <t>Roads number</t>
  </si>
  <si>
    <t>Length in Km</t>
  </si>
  <si>
    <t>Table 3.4 - Damages caused to agricultural lands in 2006</t>
  </si>
  <si>
    <t>Caza</t>
  </si>
  <si>
    <t>Damage %</t>
  </si>
  <si>
    <t>Bent Jbayl</t>
  </si>
  <si>
    <t>Marjayoun</t>
  </si>
  <si>
    <t>Tyr</t>
  </si>
  <si>
    <t>Hasbaya</t>
  </si>
  <si>
    <t>Table 3.5 - Executed and delivered works in 2006</t>
  </si>
  <si>
    <t>Source -  Ministry of Agriculture - Green Project</t>
  </si>
  <si>
    <t>Irrigation Channels in meters</t>
  </si>
  <si>
    <t>Concrete Tanks (CM)</t>
  </si>
  <si>
    <t>Vine Columns</t>
  </si>
  <si>
    <t>Tank perforation (CM)</t>
  </si>
  <si>
    <t>Fruitful saplings</t>
  </si>
  <si>
    <t>Fence in meters</t>
  </si>
  <si>
    <t>Modern irrigation in dounams</t>
  </si>
  <si>
    <t>Paid amounts in thousands LBP</t>
  </si>
  <si>
    <t>Table 3.6 - Executed and delivered works in 2007</t>
  </si>
  <si>
    <t>Table 3.7 - Exports of fruits</t>
  </si>
  <si>
    <t>Source:  Ministry of Agriculture</t>
  </si>
  <si>
    <t>Orange</t>
  </si>
  <si>
    <t>Grapes</t>
  </si>
  <si>
    <t>Apples</t>
  </si>
  <si>
    <t>Lemon</t>
  </si>
  <si>
    <t>Pears</t>
  </si>
  <si>
    <t>Exported Fruits (in tons)</t>
  </si>
  <si>
    <t>Grapefruit</t>
  </si>
  <si>
    <t>Clémentine</t>
  </si>
  <si>
    <t>Avocado</t>
  </si>
  <si>
    <t>Kakhis</t>
  </si>
  <si>
    <t>Guava</t>
  </si>
  <si>
    <t>Cactus</t>
  </si>
  <si>
    <t>Banana</t>
  </si>
  <si>
    <t>Green almonds</t>
  </si>
  <si>
    <t>Green plums</t>
  </si>
  <si>
    <t>Japanese Quince</t>
  </si>
  <si>
    <t>Peach</t>
  </si>
  <si>
    <t>Apricot</t>
  </si>
  <si>
    <t>Cherry</t>
  </si>
  <si>
    <t>Melons</t>
  </si>
  <si>
    <t>Water Melon</t>
  </si>
  <si>
    <t>Strawberry</t>
  </si>
  <si>
    <t>Fig</t>
  </si>
  <si>
    <t>Jujube</t>
  </si>
  <si>
    <t>Others</t>
  </si>
  <si>
    <t>Total Fruits</t>
  </si>
  <si>
    <t>Table 3.8 - Imports of fruits</t>
  </si>
  <si>
    <t>Dates</t>
  </si>
  <si>
    <t>Mango</t>
  </si>
  <si>
    <t>Pineapple</t>
  </si>
  <si>
    <t>Kiwi</t>
  </si>
  <si>
    <t>Quinces</t>
  </si>
  <si>
    <t>Pistachio</t>
  </si>
  <si>
    <t>Imported Fruits (in tons)</t>
  </si>
  <si>
    <t>Table 3.9 - Exports of fruits by country</t>
  </si>
  <si>
    <t>Table 3.10 - Imports of fruits by country</t>
  </si>
  <si>
    <t>Saudi Arabia</t>
  </si>
  <si>
    <t>Kuwait</t>
  </si>
  <si>
    <t>Abou Dhabi</t>
  </si>
  <si>
    <t>Dubaï</t>
  </si>
  <si>
    <t>Qatar</t>
  </si>
  <si>
    <t>Bahrain</t>
  </si>
  <si>
    <t>Oman</t>
  </si>
  <si>
    <t>United Arab Emirates</t>
  </si>
  <si>
    <t>Sudan</t>
  </si>
  <si>
    <t>Foreign countries</t>
  </si>
  <si>
    <t>Yemen</t>
  </si>
  <si>
    <t>Table 3.11 - Exports of vegetables</t>
  </si>
  <si>
    <t>Potato</t>
  </si>
  <si>
    <t>Lettuce</t>
  </si>
  <si>
    <t>Tomato</t>
  </si>
  <si>
    <t>Cabbage</t>
  </si>
  <si>
    <t>Cauliflower</t>
  </si>
  <si>
    <t>Pepper</t>
  </si>
  <si>
    <t>Zucchini</t>
  </si>
  <si>
    <t>Eggplant</t>
  </si>
  <si>
    <t>Garlic</t>
  </si>
  <si>
    <t>Bean</t>
  </si>
  <si>
    <t>Beans</t>
  </si>
  <si>
    <t>Peas</t>
  </si>
  <si>
    <t>Cucumber</t>
  </si>
  <si>
    <t>Turnip</t>
  </si>
  <si>
    <t>Carrott</t>
  </si>
  <si>
    <t>Beetroot</t>
  </si>
  <si>
    <t>Artichoke</t>
  </si>
  <si>
    <t>Vegetables total</t>
  </si>
  <si>
    <t>Exported vegetables (in tons)</t>
  </si>
  <si>
    <t>Table 3.12 - Imports of vegetables</t>
  </si>
  <si>
    <t>Table assembled by CAS</t>
  </si>
  <si>
    <t>Rehabilitated area (dounams)</t>
  </si>
  <si>
    <t>Table 3.2 - Comparison of rehabilitated areas by Mohafazat by dounams</t>
  </si>
  <si>
    <t>Rehabilitated areas in dounams</t>
  </si>
  <si>
    <t>Pomegranate</t>
  </si>
  <si>
    <t>Iraq</t>
  </si>
  <si>
    <t>Onion</t>
  </si>
  <si>
    <t>Ireland</t>
  </si>
  <si>
    <t>Sweden</t>
  </si>
  <si>
    <t>Hungary</t>
  </si>
  <si>
    <t>Kazakhstan</t>
  </si>
  <si>
    <t>Cameroon</t>
  </si>
  <si>
    <t>Madagascar</t>
  </si>
  <si>
    <t>Urguay</t>
  </si>
  <si>
    <t>Singapor</t>
  </si>
  <si>
    <t>Table 3.3 - Roads constructed by Green Plan</t>
  </si>
  <si>
    <t>3. GREEN PROJECT AND AGRICULTURE</t>
  </si>
</sst>
</file>

<file path=xl/styles.xml><?xml version="1.0" encoding="utf-8"?>
<styleSheet xmlns="http://schemas.openxmlformats.org/spreadsheetml/2006/main">
  <numFmts count="58">
    <numFmt numFmtId="5" formatCode="&quot;ل.ل.&quot;\ #,##0_-;&quot;ل.ل.&quot;\ #,##0\-"/>
    <numFmt numFmtId="6" formatCode="&quot;ل.ل.&quot;\ #,##0_-;[Red]&quot;ل.ل.&quot;\ #,##0\-"/>
    <numFmt numFmtId="7" formatCode="&quot;ل.ل.&quot;\ #,##0.00_-;&quot;ل.ل.&quot;\ #,##0.00\-"/>
    <numFmt numFmtId="8" formatCode="&quot;ل.ل.&quot;\ #,##0.00_-;[Red]&quot;ل.ل.&quot;\ #,##0.00\-"/>
    <numFmt numFmtId="42" formatCode="_-&quot;ل.ل.&quot;\ * #,##0_-;_-&quot;ل.ل.&quot;\ * #,##0\-;_-&quot;ل.ل.&quot;\ * &quot;-&quot;_-;_-@_-"/>
    <numFmt numFmtId="41" formatCode="_-* #,##0_-;_-* #,##0\-;_-* &quot;-&quot;_-;_-@_-"/>
    <numFmt numFmtId="44" formatCode="_-&quot;ل.ل.&quot;\ * #,##0.00_-;_-&quot;ل.ل.&quot;\ * #,##0.00\-;_-&quot;ل.ل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_-* #,##0\ _€_-;\-* #,##0\ _€_-;_-* &quot;-&quot;??\ _€_-;_-@_-"/>
    <numFmt numFmtId="213" formatCode="0.000000000"/>
  </numFmts>
  <fonts count="19">
    <font>
      <sz val="10"/>
      <name val="Arial"/>
      <family val="0"/>
    </font>
    <font>
      <sz val="8"/>
      <name val="Arial"/>
      <family val="0"/>
    </font>
    <font>
      <sz val="10"/>
      <name val="MS Sans Serif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7.5"/>
      <name val="Times New Roman"/>
      <family val="1"/>
    </font>
    <font>
      <b/>
      <sz val="9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readingOrder="1"/>
    </xf>
    <xf numFmtId="0" fontId="11" fillId="0" borderId="0" xfId="0" applyFont="1" applyAlignment="1">
      <alignment vertical="center" readingOrder="1"/>
    </xf>
    <xf numFmtId="0" fontId="6" fillId="0" borderId="0" xfId="0" applyFont="1" applyFill="1" applyAlignment="1">
      <alignment vertical="center" readingOrder="1"/>
    </xf>
    <xf numFmtId="0" fontId="6" fillId="0" borderId="0" xfId="0" applyFont="1" applyBorder="1" applyAlignment="1">
      <alignment vertical="center" readingOrder="1"/>
    </xf>
    <xf numFmtId="0" fontId="8" fillId="0" borderId="0" xfId="0" applyFont="1" applyFill="1" applyAlignment="1">
      <alignment vertical="center" readingOrder="1"/>
    </xf>
    <xf numFmtId="0" fontId="11" fillId="0" borderId="0" xfId="0" applyFont="1" applyFill="1" applyAlignment="1">
      <alignment vertical="center" readingOrder="1"/>
    </xf>
    <xf numFmtId="0" fontId="6" fillId="0" borderId="0" xfId="0" applyFont="1" applyFill="1" applyBorder="1" applyAlignment="1">
      <alignment horizontal="right" vertical="center" readingOrder="1"/>
    </xf>
    <xf numFmtId="0" fontId="6" fillId="0" borderId="0" xfId="0" applyFont="1" applyFill="1" applyBorder="1" applyAlignment="1">
      <alignment vertical="center" readingOrder="1"/>
    </xf>
    <xf numFmtId="0" fontId="7" fillId="0" borderId="0" xfId="0" applyFont="1" applyFill="1" applyBorder="1" applyAlignment="1">
      <alignment horizontal="right" vertical="center" readingOrder="1"/>
    </xf>
    <xf numFmtId="0" fontId="7" fillId="0" borderId="0" xfId="0" applyFont="1" applyFill="1" applyBorder="1" applyAlignment="1">
      <alignment vertical="center" readingOrder="1"/>
    </xf>
    <xf numFmtId="0" fontId="12" fillId="0" borderId="0" xfId="0" applyFont="1" applyFill="1" applyBorder="1" applyAlignment="1">
      <alignment vertical="center" readingOrder="1"/>
    </xf>
    <xf numFmtId="0" fontId="6" fillId="0" borderId="0" xfId="0" applyFont="1" applyFill="1" applyBorder="1" applyAlignment="1">
      <alignment horizontal="left" vertical="center" readingOrder="1"/>
    </xf>
    <xf numFmtId="0" fontId="15" fillId="0" borderId="0" xfId="0" applyFont="1" applyFill="1" applyBorder="1" applyAlignment="1">
      <alignment vertical="center" textRotation="90" readingOrder="1"/>
    </xf>
    <xf numFmtId="191" fontId="10" fillId="0" borderId="1" xfId="15" applyNumberFormat="1" applyFont="1" applyFill="1" applyBorder="1" applyAlignment="1">
      <alignment horizontal="right" vertical="center" readingOrder="1"/>
    </xf>
    <xf numFmtId="191" fontId="10" fillId="0" borderId="2" xfId="15" applyNumberFormat="1" applyFont="1" applyFill="1" applyBorder="1" applyAlignment="1">
      <alignment horizontal="right" vertical="center" readingOrder="1"/>
    </xf>
    <xf numFmtId="191" fontId="18" fillId="0" borderId="3" xfId="15" applyNumberFormat="1" applyFont="1" applyFill="1" applyBorder="1" applyAlignment="1">
      <alignment horizontal="right" vertical="center" readingOrder="1"/>
    </xf>
    <xf numFmtId="191" fontId="10" fillId="0" borderId="4" xfId="15" applyNumberFormat="1" applyFont="1" applyFill="1" applyBorder="1" applyAlignment="1">
      <alignment horizontal="right" vertical="center" readingOrder="1"/>
    </xf>
    <xf numFmtId="191" fontId="10" fillId="0" borderId="5" xfId="15" applyNumberFormat="1" applyFont="1" applyFill="1" applyBorder="1" applyAlignment="1">
      <alignment horizontal="right" vertical="center" readingOrder="1"/>
    </xf>
    <xf numFmtId="191" fontId="18" fillId="0" borderId="6" xfId="15" applyNumberFormat="1" applyFont="1" applyFill="1" applyBorder="1" applyAlignment="1">
      <alignment horizontal="right" vertical="center" readingOrder="1"/>
    </xf>
    <xf numFmtId="191" fontId="10" fillId="0" borderId="7" xfId="15" applyNumberFormat="1" applyFont="1" applyFill="1" applyBorder="1" applyAlignment="1">
      <alignment horizontal="right" vertical="center" readingOrder="1"/>
    </xf>
    <xf numFmtId="191" fontId="10" fillId="0" borderId="8" xfId="15" applyNumberFormat="1" applyFont="1" applyFill="1" applyBorder="1" applyAlignment="1">
      <alignment horizontal="right" vertical="center" readingOrder="1"/>
    </xf>
    <xf numFmtId="0" fontId="7" fillId="0" borderId="0" xfId="0" applyFont="1" applyFill="1" applyAlignment="1">
      <alignment vertical="center" readingOrder="1"/>
    </xf>
    <xf numFmtId="0" fontId="9" fillId="2" borderId="9" xfId="0" applyFont="1" applyFill="1" applyBorder="1" applyAlignment="1">
      <alignment horizontal="center" vertical="center"/>
    </xf>
    <xf numFmtId="191" fontId="10" fillId="0" borderId="10" xfId="15" applyNumberFormat="1" applyFont="1" applyFill="1" applyBorder="1" applyAlignment="1">
      <alignment horizontal="right" vertical="center" readingOrder="1"/>
    </xf>
    <xf numFmtId="191" fontId="10" fillId="0" borderId="11" xfId="15" applyNumberFormat="1" applyFont="1" applyFill="1" applyBorder="1" applyAlignment="1">
      <alignment horizontal="right" vertical="center" readingOrder="1"/>
    </xf>
    <xf numFmtId="191" fontId="18" fillId="0" borderId="12" xfId="0" applyNumberFormat="1" applyFont="1" applyFill="1" applyBorder="1" applyAlignment="1">
      <alignment vertical="center" readingOrder="1"/>
    </xf>
    <xf numFmtId="191" fontId="18" fillId="0" borderId="13" xfId="0" applyNumberFormat="1" applyFont="1" applyFill="1" applyBorder="1" applyAlignment="1">
      <alignment vertical="center" readingOrder="1"/>
    </xf>
    <xf numFmtId="191" fontId="18" fillId="0" borderId="14" xfId="0" applyNumberFormat="1" applyFont="1" applyFill="1" applyBorder="1" applyAlignment="1">
      <alignment vertical="center" readingOrder="1"/>
    </xf>
    <xf numFmtId="191" fontId="18" fillId="0" borderId="15" xfId="0" applyNumberFormat="1" applyFont="1" applyFill="1" applyBorder="1" applyAlignment="1">
      <alignment vertical="center" readingOrder="1"/>
    </xf>
    <xf numFmtId="1" fontId="10" fillId="0" borderId="2" xfId="15" applyNumberFormat="1" applyFont="1" applyFill="1" applyBorder="1" applyAlignment="1">
      <alignment horizontal="right" vertical="center" readingOrder="1"/>
    </xf>
    <xf numFmtId="191" fontId="10" fillId="0" borderId="16" xfId="15" applyNumberFormat="1" applyFont="1" applyFill="1" applyBorder="1" applyAlignment="1">
      <alignment horizontal="right" vertical="center" readingOrder="1"/>
    </xf>
    <xf numFmtId="191" fontId="18" fillId="0" borderId="9" xfId="0" applyNumberFormat="1" applyFont="1" applyFill="1" applyBorder="1" applyAlignment="1">
      <alignment vertical="center" readingOrder="1"/>
    </xf>
    <xf numFmtId="3" fontId="10" fillId="0" borderId="5" xfId="15" applyNumberFormat="1" applyFont="1" applyFill="1" applyBorder="1" applyAlignment="1">
      <alignment horizontal="right" vertical="center" readingOrder="1"/>
    </xf>
    <xf numFmtId="3" fontId="10" fillId="0" borderId="2" xfId="15" applyNumberFormat="1" applyFont="1" applyFill="1" applyBorder="1" applyAlignment="1">
      <alignment horizontal="right" vertical="center" readingOrder="1"/>
    </xf>
    <xf numFmtId="3" fontId="10" fillId="0" borderId="10" xfId="15" applyNumberFormat="1" applyFont="1" applyFill="1" applyBorder="1" applyAlignment="1">
      <alignment horizontal="right" vertical="center" readingOrder="1"/>
    </xf>
    <xf numFmtId="3" fontId="10" fillId="0" borderId="4" xfId="15" applyNumberFormat="1" applyFont="1" applyFill="1" applyBorder="1" applyAlignment="1">
      <alignment horizontal="right" vertical="center" readingOrder="1"/>
    </xf>
    <xf numFmtId="3" fontId="10" fillId="0" borderId="11" xfId="15" applyNumberFormat="1" applyFont="1" applyFill="1" applyBorder="1" applyAlignment="1">
      <alignment horizontal="right" vertical="center" readingOrder="1"/>
    </xf>
    <xf numFmtId="3" fontId="10" fillId="0" borderId="17" xfId="15" applyNumberFormat="1" applyFont="1" applyFill="1" applyBorder="1" applyAlignment="1">
      <alignment horizontal="right" vertical="center" readingOrder="1"/>
    </xf>
    <xf numFmtId="3" fontId="10" fillId="0" borderId="18" xfId="15" applyNumberFormat="1" applyFont="1" applyFill="1" applyBorder="1" applyAlignment="1">
      <alignment horizontal="right" vertical="center" readingOrder="1"/>
    </xf>
    <xf numFmtId="3" fontId="10" fillId="0" borderId="19" xfId="15" applyNumberFormat="1" applyFont="1" applyFill="1" applyBorder="1" applyAlignment="1">
      <alignment horizontal="right" vertical="center" readingOrder="1"/>
    </xf>
    <xf numFmtId="3" fontId="18" fillId="0" borderId="3" xfId="15" applyNumberFormat="1" applyFont="1" applyFill="1" applyBorder="1" applyAlignment="1">
      <alignment horizontal="right" vertical="center" readingOrder="1"/>
    </xf>
    <xf numFmtId="3" fontId="10" fillId="0" borderId="8" xfId="15" applyNumberFormat="1" applyFont="1" applyFill="1" applyBorder="1" applyAlignment="1">
      <alignment horizontal="right" vertical="center" readingOrder="1"/>
    </xf>
    <xf numFmtId="3" fontId="10" fillId="0" borderId="1" xfId="15" applyNumberFormat="1" applyFont="1" applyFill="1" applyBorder="1" applyAlignment="1">
      <alignment horizontal="right" vertical="center" readingOrder="1"/>
    </xf>
    <xf numFmtId="3" fontId="10" fillId="0" borderId="16" xfId="15" applyNumberFormat="1" applyFont="1" applyFill="1" applyBorder="1" applyAlignment="1">
      <alignment horizontal="right" vertical="center" readingOrder="1"/>
    </xf>
    <xf numFmtId="3" fontId="18" fillId="0" borderId="15" xfId="0" applyNumberFormat="1" applyFont="1" applyFill="1" applyBorder="1" applyAlignment="1">
      <alignment vertical="center" readingOrder="1"/>
    </xf>
    <xf numFmtId="0" fontId="9" fillId="2" borderId="9" xfId="0" applyFont="1" applyFill="1" applyBorder="1" applyAlignment="1">
      <alignment horizontal="center" vertical="center" wrapText="1"/>
    </xf>
    <xf numFmtId="3" fontId="18" fillId="0" borderId="13" xfId="0" applyNumberFormat="1" applyFont="1" applyFill="1" applyBorder="1" applyAlignment="1">
      <alignment vertical="center" readingOrder="1"/>
    </xf>
    <xf numFmtId="3" fontId="18" fillId="0" borderId="14" xfId="0" applyNumberFormat="1" applyFont="1" applyFill="1" applyBorder="1" applyAlignment="1">
      <alignment vertical="center" readingOrder="1"/>
    </xf>
    <xf numFmtId="172" fontId="6" fillId="0" borderId="0" xfId="0" applyNumberFormat="1" applyFont="1" applyFill="1" applyAlignment="1">
      <alignment vertical="center" readingOrder="1"/>
    </xf>
    <xf numFmtId="0" fontId="17" fillId="2" borderId="20" xfId="0" applyFont="1" applyFill="1" applyBorder="1" applyAlignment="1">
      <alignment horizontal="center" vertical="center" textRotation="90" wrapText="1" readingOrder="1"/>
    </xf>
    <xf numFmtId="0" fontId="17" fillId="2" borderId="21" xfId="0" applyFont="1" applyFill="1" applyBorder="1" applyAlignment="1">
      <alignment horizontal="center" vertical="center" textRotation="90" wrapText="1" readingOrder="1"/>
    </xf>
    <xf numFmtId="0" fontId="17" fillId="2" borderId="22" xfId="0" applyFont="1" applyFill="1" applyBorder="1" applyAlignment="1">
      <alignment horizontal="center" vertical="center" textRotation="90" wrapText="1" readingOrder="1"/>
    </xf>
    <xf numFmtId="0" fontId="17" fillId="2" borderId="23" xfId="0" applyFont="1" applyFill="1" applyBorder="1" applyAlignment="1">
      <alignment horizontal="center" vertical="center" textRotation="90" wrapText="1" readingOrder="1"/>
    </xf>
    <xf numFmtId="3" fontId="18" fillId="0" borderId="22" xfId="15" applyNumberFormat="1" applyFont="1" applyFill="1" applyBorder="1" applyAlignment="1">
      <alignment horizontal="right" vertical="center" readingOrder="1"/>
    </xf>
    <xf numFmtId="3" fontId="10" fillId="0" borderId="24" xfId="15" applyNumberFormat="1" applyFont="1" applyFill="1" applyBorder="1" applyAlignment="1">
      <alignment horizontal="right" vertical="center" readingOrder="1"/>
    </xf>
    <xf numFmtId="3" fontId="10" fillId="0" borderId="7" xfId="15" applyNumberFormat="1" applyFont="1" applyFill="1" applyBorder="1" applyAlignment="1">
      <alignment horizontal="right" vertical="center" readingOrder="1"/>
    </xf>
    <xf numFmtId="3" fontId="10" fillId="0" borderId="25" xfId="15" applyNumberFormat="1" applyFont="1" applyFill="1" applyBorder="1" applyAlignment="1">
      <alignment horizontal="right" vertical="center" readingOrder="1"/>
    </xf>
    <xf numFmtId="0" fontId="6" fillId="0" borderId="0" xfId="0" applyFont="1" applyFill="1" applyBorder="1" applyAlignment="1">
      <alignment vertical="center" wrapText="1" readingOrder="1"/>
    </xf>
    <xf numFmtId="0" fontId="17" fillId="2" borderId="26" xfId="0" applyFont="1" applyFill="1" applyBorder="1" applyAlignment="1">
      <alignment horizontal="center" vertical="center" textRotation="90" wrapText="1" readingOrder="1"/>
    </xf>
    <xf numFmtId="3" fontId="10" fillId="0" borderId="18" xfId="15" applyNumberFormat="1" applyFont="1" applyBorder="1" applyAlignment="1">
      <alignment vertical="center"/>
    </xf>
    <xf numFmtId="3" fontId="10" fillId="0" borderId="4" xfId="15" applyNumberFormat="1" applyFont="1" applyBorder="1" applyAlignment="1">
      <alignment vertical="center"/>
    </xf>
    <xf numFmtId="3" fontId="18" fillId="0" borderId="20" xfId="15" applyNumberFormat="1" applyFont="1" applyFill="1" applyBorder="1" applyAlignment="1">
      <alignment horizontal="right" vertical="center" readingOrder="1"/>
    </xf>
    <xf numFmtId="3" fontId="18" fillId="0" borderId="21" xfId="15" applyNumberFormat="1" applyFont="1" applyFill="1" applyBorder="1" applyAlignment="1">
      <alignment horizontal="right" vertical="center" readingOrder="1"/>
    </xf>
    <xf numFmtId="3" fontId="10" fillId="0" borderId="27" xfId="15" applyNumberFormat="1" applyFont="1" applyFill="1" applyBorder="1" applyAlignment="1">
      <alignment horizontal="right" vertical="center" readingOrder="1"/>
    </xf>
    <xf numFmtId="3" fontId="18" fillId="0" borderId="13" xfId="15" applyNumberFormat="1" applyFont="1" applyFill="1" applyBorder="1" applyAlignment="1">
      <alignment vertical="center" readingOrder="1"/>
    </xf>
    <xf numFmtId="3" fontId="18" fillId="0" borderId="28" xfId="15" applyNumberFormat="1" applyFont="1" applyFill="1" applyBorder="1" applyAlignment="1">
      <alignment vertical="center" readingOrder="1"/>
    </xf>
    <xf numFmtId="0" fontId="17" fillId="2" borderId="29" xfId="0" applyFont="1" applyFill="1" applyBorder="1" applyAlignment="1">
      <alignment horizontal="center" vertical="center" textRotation="90" wrapText="1" readingOrder="1"/>
    </xf>
    <xf numFmtId="3" fontId="10" fillId="0" borderId="2" xfId="15" applyNumberFormat="1" applyFont="1" applyBorder="1" applyAlignment="1">
      <alignment vertical="center"/>
    </xf>
    <xf numFmtId="3" fontId="10" fillId="0" borderId="30" xfId="15" applyNumberFormat="1" applyFont="1" applyBorder="1" applyAlignment="1">
      <alignment vertical="center"/>
    </xf>
    <xf numFmtId="3" fontId="10" fillId="0" borderId="31" xfId="15" applyNumberFormat="1" applyFont="1" applyBorder="1" applyAlignment="1">
      <alignment vertical="center"/>
    </xf>
    <xf numFmtId="3" fontId="10" fillId="0" borderId="4" xfId="15" applyNumberFormat="1" applyFont="1" applyFill="1" applyBorder="1" applyAlignment="1">
      <alignment vertical="center" readingOrder="1"/>
    </xf>
    <xf numFmtId="0" fontId="17" fillId="2" borderId="9" xfId="0" applyFont="1" applyFill="1" applyBorder="1" applyAlignment="1">
      <alignment horizontal="center" vertical="center" textRotation="90" wrapText="1" readingOrder="1"/>
    </xf>
    <xf numFmtId="3" fontId="10" fillId="0" borderId="20" xfId="15" applyNumberFormat="1" applyFont="1" applyFill="1" applyBorder="1" applyAlignment="1">
      <alignment horizontal="right" vertical="center" readingOrder="1"/>
    </xf>
    <xf numFmtId="0" fontId="15" fillId="0" borderId="0" xfId="0" applyFont="1" applyFill="1" applyBorder="1" applyAlignment="1">
      <alignment vertical="center" readingOrder="1"/>
    </xf>
    <xf numFmtId="0" fontId="9" fillId="0" borderId="0" xfId="0" applyFont="1" applyFill="1" applyBorder="1" applyAlignment="1">
      <alignment vertical="center" readingOrder="1"/>
    </xf>
    <xf numFmtId="0" fontId="11" fillId="0" borderId="0" xfId="26" applyFont="1" applyFill="1" applyBorder="1" applyAlignment="1">
      <alignment horizontal="center" vertical="center" readingOrder="1"/>
      <protection/>
    </xf>
    <xf numFmtId="0" fontId="11" fillId="0" borderId="0" xfId="26" applyFont="1" applyFill="1" applyBorder="1" applyAlignment="1">
      <alignment horizontal="center" vertical="center" wrapText="1" readingOrder="1"/>
      <protection/>
    </xf>
    <xf numFmtId="1" fontId="6" fillId="0" borderId="0" xfId="0" applyNumberFormat="1" applyFont="1" applyFill="1" applyBorder="1" applyAlignment="1">
      <alignment horizontal="right" vertical="center" readingOrder="1"/>
    </xf>
    <xf numFmtId="0" fontId="11" fillId="0" borderId="0" xfId="0" applyFont="1" applyFill="1" applyBorder="1" applyAlignment="1">
      <alignment vertical="center" readingOrder="1"/>
    </xf>
    <xf numFmtId="0" fontId="17" fillId="2" borderId="9" xfId="26" applyFont="1" applyFill="1" applyBorder="1" applyAlignment="1">
      <alignment horizontal="center" vertical="center" wrapText="1" readingOrder="1"/>
      <protection/>
    </xf>
    <xf numFmtId="3" fontId="18" fillId="0" borderId="12" xfId="0" applyNumberFormat="1" applyFont="1" applyFill="1" applyBorder="1" applyAlignment="1">
      <alignment vertical="center" readingOrder="1"/>
    </xf>
    <xf numFmtId="3" fontId="10" fillId="0" borderId="2" xfId="15" applyNumberFormat="1" applyFont="1" applyFill="1" applyBorder="1" applyAlignment="1">
      <alignment horizontal="right" vertical="center" wrapText="1" readingOrder="1"/>
    </xf>
    <xf numFmtId="3" fontId="18" fillId="0" borderId="6" xfId="15" applyNumberFormat="1" applyFont="1" applyFill="1" applyBorder="1" applyAlignment="1">
      <alignment horizontal="right" vertical="center" readingOrder="1"/>
    </xf>
    <xf numFmtId="3" fontId="18" fillId="0" borderId="9" xfId="0" applyNumberFormat="1" applyFont="1" applyFill="1" applyBorder="1" applyAlignment="1">
      <alignment vertical="center" readingOrder="1"/>
    </xf>
    <xf numFmtId="0" fontId="17" fillId="2" borderId="32" xfId="26" applyFont="1" applyFill="1" applyBorder="1" applyAlignment="1">
      <alignment horizontal="center" vertical="center" wrapText="1" readingOrder="1"/>
      <protection/>
    </xf>
    <xf numFmtId="3" fontId="18" fillId="0" borderId="22" xfId="0" applyNumberFormat="1" applyFont="1" applyFill="1" applyBorder="1" applyAlignment="1">
      <alignment vertical="center" readingOrder="1"/>
    </xf>
    <xf numFmtId="3" fontId="10" fillId="0" borderId="33" xfId="15" applyNumberFormat="1" applyFont="1" applyFill="1" applyBorder="1" applyAlignment="1">
      <alignment horizontal="right" vertical="center" readingOrder="1"/>
    </xf>
    <xf numFmtId="3" fontId="10" fillId="0" borderId="34" xfId="15" applyNumberFormat="1" applyFont="1" applyFill="1" applyBorder="1" applyAlignment="1">
      <alignment horizontal="right" vertical="center" readingOrder="1"/>
    </xf>
    <xf numFmtId="3" fontId="18" fillId="0" borderId="35" xfId="0" applyNumberFormat="1" applyFont="1" applyFill="1" applyBorder="1" applyAlignment="1">
      <alignment vertical="center" readingOrder="1"/>
    </xf>
    <xf numFmtId="3" fontId="18" fillId="0" borderId="36" xfId="0" applyNumberFormat="1" applyFont="1" applyFill="1" applyBorder="1" applyAlignment="1">
      <alignment vertical="center" readingOrder="1"/>
    </xf>
    <xf numFmtId="3" fontId="18" fillId="0" borderId="37" xfId="0" applyNumberFormat="1" applyFont="1" applyFill="1" applyBorder="1" applyAlignment="1">
      <alignment vertical="center" readingOrder="1"/>
    </xf>
    <xf numFmtId="3" fontId="10" fillId="0" borderId="38" xfId="15" applyNumberFormat="1" applyFont="1" applyFill="1" applyBorder="1" applyAlignment="1">
      <alignment horizontal="right" vertical="center" readingOrder="1"/>
    </xf>
    <xf numFmtId="3" fontId="18" fillId="0" borderId="6" xfId="0" applyNumberFormat="1" applyFont="1" applyFill="1" applyBorder="1" applyAlignment="1">
      <alignment vertical="center" readingOrder="1"/>
    </xf>
    <xf numFmtId="3" fontId="18" fillId="0" borderId="21" xfId="0" applyNumberFormat="1" applyFont="1" applyFill="1" applyBorder="1" applyAlignment="1">
      <alignment vertical="center" readingOrder="1"/>
    </xf>
    <xf numFmtId="3" fontId="10" fillId="0" borderId="22" xfId="15" applyNumberFormat="1" applyFont="1" applyFill="1" applyBorder="1" applyAlignment="1">
      <alignment horizontal="right" vertical="center" readingOrder="1"/>
    </xf>
    <xf numFmtId="3" fontId="10" fillId="0" borderId="21" xfId="15" applyNumberFormat="1" applyFont="1" applyFill="1" applyBorder="1" applyAlignment="1">
      <alignment horizontal="right" vertical="center" readingOrder="1"/>
    </xf>
    <xf numFmtId="3" fontId="10" fillId="0" borderId="4" xfId="15" applyNumberFormat="1" applyFont="1" applyFill="1" applyBorder="1" applyAlignment="1">
      <alignment horizontal="right" vertical="center" wrapText="1" readingOrder="1"/>
    </xf>
    <xf numFmtId="3" fontId="18" fillId="0" borderId="39" xfId="0" applyNumberFormat="1" applyFont="1" applyFill="1" applyBorder="1" applyAlignment="1">
      <alignment vertical="center" readingOrder="1"/>
    </xf>
    <xf numFmtId="3" fontId="10" fillId="0" borderId="5" xfId="15" applyNumberFormat="1" applyFont="1" applyFill="1" applyBorder="1" applyAlignment="1">
      <alignment vertical="center" readingOrder="1"/>
    </xf>
    <xf numFmtId="3" fontId="10" fillId="0" borderId="2" xfId="15" applyNumberFormat="1" applyFont="1" applyFill="1" applyBorder="1" applyAlignment="1">
      <alignment vertical="center" readingOrder="1"/>
    </xf>
    <xf numFmtId="3" fontId="10" fillId="0" borderId="10" xfId="15" applyNumberFormat="1" applyFont="1" applyFill="1" applyBorder="1" applyAlignment="1">
      <alignment vertical="center" readingOrder="1"/>
    </xf>
    <xf numFmtId="3" fontId="10" fillId="0" borderId="7" xfId="15" applyNumberFormat="1" applyFont="1" applyFill="1" applyBorder="1" applyAlignment="1">
      <alignment vertical="center" readingOrder="1"/>
    </xf>
    <xf numFmtId="3" fontId="10" fillId="0" borderId="11" xfId="15" applyNumberFormat="1" applyFont="1" applyFill="1" applyBorder="1" applyAlignment="1">
      <alignment vertical="center" readingOrder="1"/>
    </xf>
    <xf numFmtId="3" fontId="18" fillId="0" borderId="20" xfId="15" applyNumberFormat="1" applyFont="1" applyFill="1" applyBorder="1" applyAlignment="1">
      <alignment vertical="center" readingOrder="1"/>
    </xf>
    <xf numFmtId="3" fontId="18" fillId="0" borderId="22" xfId="15" applyNumberFormat="1" applyFont="1" applyFill="1" applyBorder="1" applyAlignment="1">
      <alignment vertical="center" readingOrder="1"/>
    </xf>
    <xf numFmtId="3" fontId="18" fillId="0" borderId="21" xfId="15" applyNumberFormat="1" applyFont="1" applyFill="1" applyBorder="1" applyAlignment="1">
      <alignment vertical="center" readingOrder="1"/>
    </xf>
    <xf numFmtId="3" fontId="10" fillId="0" borderId="40" xfId="15" applyNumberFormat="1" applyFont="1" applyFill="1" applyBorder="1" applyAlignment="1">
      <alignment horizontal="right" vertical="center" readingOrder="1"/>
    </xf>
    <xf numFmtId="3" fontId="10" fillId="0" borderId="41" xfId="15" applyNumberFormat="1" applyFont="1" applyFill="1" applyBorder="1" applyAlignment="1">
      <alignment horizontal="right" vertical="center" readingOrder="1"/>
    </xf>
    <xf numFmtId="3" fontId="10" fillId="0" borderId="42" xfId="15" applyNumberFormat="1" applyFont="1" applyFill="1" applyBorder="1" applyAlignment="1">
      <alignment horizontal="right" vertical="center" readingOrder="1"/>
    </xf>
    <xf numFmtId="0" fontId="17" fillId="2" borderId="43" xfId="0" applyFont="1" applyFill="1" applyBorder="1" applyAlignment="1">
      <alignment horizontal="center" vertical="center" textRotation="90" wrapText="1" readingOrder="1"/>
    </xf>
    <xf numFmtId="0" fontId="17" fillId="2" borderId="20" xfId="0" applyFont="1" applyFill="1" applyBorder="1" applyAlignment="1">
      <alignment horizontal="center" vertical="center" wrapText="1" readingOrder="1"/>
    </xf>
    <xf numFmtId="0" fontId="17" fillId="2" borderId="21" xfId="0" applyFont="1" applyFill="1" applyBorder="1" applyAlignment="1">
      <alignment horizontal="center" vertical="center" wrapText="1" readingOrder="1"/>
    </xf>
    <xf numFmtId="0" fontId="17" fillId="2" borderId="22" xfId="0" applyFont="1" applyFill="1" applyBorder="1" applyAlignment="1">
      <alignment horizontal="center" vertical="center" wrapText="1" readingOrder="1"/>
    </xf>
    <xf numFmtId="0" fontId="17" fillId="2" borderId="9" xfId="0" applyFont="1" applyFill="1" applyBorder="1" applyAlignment="1">
      <alignment horizontal="center" vertical="center" readingOrder="1"/>
    </xf>
    <xf numFmtId="3" fontId="10" fillId="0" borderId="22" xfId="15" applyNumberFormat="1" applyFont="1" applyBorder="1" applyAlignment="1">
      <alignment vertical="center"/>
    </xf>
    <xf numFmtId="3" fontId="10" fillId="0" borderId="21" xfId="15" applyNumberFormat="1" applyFont="1" applyBorder="1" applyAlignment="1">
      <alignment vertical="center"/>
    </xf>
    <xf numFmtId="3" fontId="10" fillId="0" borderId="20" xfId="15" applyNumberFormat="1" applyFont="1" applyBorder="1" applyAlignment="1">
      <alignment vertical="center"/>
    </xf>
    <xf numFmtId="3" fontId="10" fillId="0" borderId="24" xfId="15" applyNumberFormat="1" applyFont="1" applyBorder="1" applyAlignment="1">
      <alignment vertical="center"/>
    </xf>
    <xf numFmtId="3" fontId="10" fillId="0" borderId="44" xfId="15" applyNumberFormat="1" applyFont="1" applyBorder="1" applyAlignment="1">
      <alignment vertical="center"/>
    </xf>
    <xf numFmtId="3" fontId="10" fillId="0" borderId="25" xfId="15" applyNumberFormat="1" applyFont="1" applyBorder="1" applyAlignment="1">
      <alignment vertical="center"/>
    </xf>
    <xf numFmtId="3" fontId="10" fillId="0" borderId="45" xfId="15" applyNumberFormat="1" applyFont="1" applyBorder="1" applyAlignment="1">
      <alignment vertical="center"/>
    </xf>
    <xf numFmtId="3" fontId="10" fillId="0" borderId="0" xfId="15" applyNumberFormat="1" applyFont="1" applyFill="1" applyBorder="1" applyAlignment="1">
      <alignment horizontal="right" vertical="center" readingOrder="1"/>
    </xf>
    <xf numFmtId="3" fontId="18" fillId="0" borderId="46" xfId="0" applyNumberFormat="1" applyFont="1" applyFill="1" applyBorder="1" applyAlignment="1">
      <alignment vertical="center" readingOrder="1"/>
    </xf>
    <xf numFmtId="3" fontId="18" fillId="0" borderId="12" xfId="15" applyNumberFormat="1" applyFont="1" applyFill="1" applyBorder="1" applyAlignment="1">
      <alignment vertical="center" readingOrder="1"/>
    </xf>
    <xf numFmtId="3" fontId="18" fillId="0" borderId="14" xfId="15" applyNumberFormat="1" applyFont="1" applyFill="1" applyBorder="1" applyAlignment="1">
      <alignment vertical="center" readingOrder="1"/>
    </xf>
    <xf numFmtId="3" fontId="10" fillId="0" borderId="18" xfId="15" applyNumberFormat="1" applyFont="1" applyFill="1" applyBorder="1" applyAlignment="1">
      <alignment vertical="center" readingOrder="1"/>
    </xf>
    <xf numFmtId="3" fontId="10" fillId="0" borderId="47" xfId="15" applyNumberFormat="1" applyFont="1" applyFill="1" applyBorder="1" applyAlignment="1">
      <alignment vertical="center" readingOrder="1"/>
    </xf>
    <xf numFmtId="3" fontId="10" fillId="0" borderId="17" xfId="15" applyNumberFormat="1" applyFont="1" applyFill="1" applyBorder="1" applyAlignment="1">
      <alignment vertical="center" readingOrder="1"/>
    </xf>
    <xf numFmtId="3" fontId="10" fillId="0" borderId="48" xfId="15" applyNumberFormat="1" applyFont="1" applyFill="1" applyBorder="1" applyAlignment="1">
      <alignment vertical="center" readingOrder="1"/>
    </xf>
    <xf numFmtId="0" fontId="9" fillId="2" borderId="1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6" fillId="0" borderId="4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17" fillId="2" borderId="26" xfId="26" applyFont="1" applyFill="1" applyBorder="1" applyAlignment="1">
      <alignment horizontal="center" vertical="center" wrapText="1" readingOrder="1"/>
      <protection/>
    </xf>
    <xf numFmtId="0" fontId="17" fillId="2" borderId="29" xfId="26" applyFont="1" applyFill="1" applyBorder="1" applyAlignment="1">
      <alignment horizontal="center" vertical="center" wrapText="1" readingOrder="1"/>
      <protection/>
    </xf>
    <xf numFmtId="0" fontId="17" fillId="2" borderId="29" xfId="0" applyFont="1" applyFill="1" applyBorder="1" applyAlignment="1">
      <alignment horizontal="center" vertical="center" wrapText="1"/>
    </xf>
    <xf numFmtId="0" fontId="17" fillId="2" borderId="23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 readingOrder="1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vertical="center" readingOrder="1"/>
    </xf>
    <xf numFmtId="0" fontId="17" fillId="2" borderId="13" xfId="0" applyFont="1" applyFill="1" applyBorder="1" applyAlignment="1">
      <alignment vertical="center" readingOrder="1"/>
    </xf>
    <xf numFmtId="0" fontId="17" fillId="2" borderId="28" xfId="0" applyFont="1" applyFill="1" applyBorder="1" applyAlignment="1">
      <alignment vertical="center" readingOrder="1"/>
    </xf>
    <xf numFmtId="0" fontId="6" fillId="0" borderId="8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9" fillId="2" borderId="21" xfId="0" applyFont="1" applyFill="1" applyBorder="1" applyAlignment="1">
      <alignment horizontal="center" vertical="center" wrapText="1"/>
    </xf>
    <xf numFmtId="3" fontId="18" fillId="0" borderId="37" xfId="15" applyNumberFormat="1" applyFont="1" applyFill="1" applyBorder="1" applyAlignment="1">
      <alignment horizontal="right" vertical="center" readingOrder="1"/>
    </xf>
    <xf numFmtId="0" fontId="17" fillId="2" borderId="35" xfId="26" applyFont="1" applyFill="1" applyBorder="1" applyAlignment="1">
      <alignment horizontal="left" vertical="center" wrapText="1" readingOrder="1"/>
      <protection/>
    </xf>
    <xf numFmtId="0" fontId="17" fillId="2" borderId="36" xfId="26" applyFont="1" applyFill="1" applyBorder="1" applyAlignment="1">
      <alignment horizontal="left" vertical="center" wrapText="1" readingOrder="1"/>
      <protection/>
    </xf>
    <xf numFmtId="0" fontId="17" fillId="2" borderId="49" xfId="26" applyFont="1" applyFill="1" applyBorder="1" applyAlignment="1">
      <alignment horizontal="left" vertical="center" wrapText="1" readingOrder="1"/>
      <protection/>
    </xf>
    <xf numFmtId="0" fontId="17" fillId="2" borderId="49" xfId="26" applyFont="1" applyFill="1" applyBorder="1" applyAlignment="1">
      <alignment vertical="center" wrapText="1" readingOrder="1"/>
      <protection/>
    </xf>
    <xf numFmtId="0" fontId="17" fillId="2" borderId="50" xfId="26" applyFont="1" applyFill="1" applyBorder="1" applyAlignment="1">
      <alignment vertical="center" wrapText="1" readingOrder="1"/>
      <protection/>
    </xf>
    <xf numFmtId="0" fontId="17" fillId="2" borderId="50" xfId="26" applyFont="1" applyFill="1" applyBorder="1" applyAlignment="1">
      <alignment horizontal="left" vertical="center" wrapText="1" readingOrder="1"/>
      <protection/>
    </xf>
    <xf numFmtId="0" fontId="17" fillId="2" borderId="9" xfId="26" applyFont="1" applyFill="1" applyBorder="1" applyAlignment="1">
      <alignment horizontal="left" vertical="center" wrapText="1" readingOrder="1"/>
      <protection/>
    </xf>
    <xf numFmtId="0" fontId="17" fillId="2" borderId="49" xfId="26" applyFont="1" applyFill="1" applyBorder="1" applyAlignment="1">
      <alignment horizontal="left" vertical="center" readingOrder="1"/>
      <protection/>
    </xf>
    <xf numFmtId="0" fontId="17" fillId="2" borderId="36" xfId="26" applyFont="1" applyFill="1" applyBorder="1" applyAlignment="1">
      <alignment horizontal="left" vertical="center" readingOrder="1"/>
      <protection/>
    </xf>
    <xf numFmtId="0" fontId="17" fillId="2" borderId="46" xfId="26" applyFont="1" applyFill="1" applyBorder="1" applyAlignment="1">
      <alignment horizontal="left" vertical="center" wrapText="1" readingOrder="1"/>
      <protection/>
    </xf>
    <xf numFmtId="0" fontId="17" fillId="2" borderId="13" xfId="26" applyFont="1" applyFill="1" applyBorder="1" applyAlignment="1">
      <alignment horizontal="left" vertical="center" wrapText="1" readingOrder="1"/>
      <protection/>
    </xf>
    <xf numFmtId="0" fontId="17" fillId="2" borderId="12" xfId="26" applyFont="1" applyFill="1" applyBorder="1" applyAlignment="1">
      <alignment horizontal="left" vertical="center" wrapText="1" readingOrder="1"/>
      <protection/>
    </xf>
    <xf numFmtId="0" fontId="17" fillId="2" borderId="15" xfId="26" applyFont="1" applyFill="1" applyBorder="1" applyAlignment="1">
      <alignment horizontal="left" vertical="center" wrapText="1" readingOrder="1"/>
      <protection/>
    </xf>
    <xf numFmtId="0" fontId="17" fillId="2" borderId="13" xfId="26" applyFont="1" applyFill="1" applyBorder="1" applyAlignment="1">
      <alignment horizontal="left" vertical="center" readingOrder="1"/>
      <protection/>
    </xf>
    <xf numFmtId="0" fontId="17" fillId="2" borderId="15" xfId="26" applyFont="1" applyFill="1" applyBorder="1" applyAlignment="1">
      <alignment horizontal="left" vertical="center" readingOrder="1"/>
      <protection/>
    </xf>
    <xf numFmtId="0" fontId="17" fillId="2" borderId="39" xfId="26" applyFont="1" applyFill="1" applyBorder="1" applyAlignment="1">
      <alignment horizontal="left" vertical="center" wrapText="1" readingOrder="1"/>
      <protection/>
    </xf>
    <xf numFmtId="0" fontId="16" fillId="0" borderId="0" xfId="0" applyFont="1" applyFill="1" applyBorder="1" applyAlignment="1">
      <alignment vertical="center" textRotation="90" readingOrder="1"/>
    </xf>
    <xf numFmtId="3" fontId="10" fillId="0" borderId="19" xfId="15" applyNumberFormat="1" applyFont="1" applyFill="1" applyBorder="1" applyAlignment="1">
      <alignment vertical="center" readingOrder="1"/>
    </xf>
    <xf numFmtId="0" fontId="17" fillId="2" borderId="51" xfId="26" applyFont="1" applyFill="1" applyBorder="1" applyAlignment="1">
      <alignment horizontal="left" vertical="center" wrapText="1" readingOrder="1"/>
      <protection/>
    </xf>
    <xf numFmtId="3" fontId="10" fillId="0" borderId="52" xfId="15" applyNumberFormat="1" applyFont="1" applyFill="1" applyBorder="1" applyAlignment="1">
      <alignment vertical="center" readingOrder="1"/>
    </xf>
    <xf numFmtId="0" fontId="17" fillId="2" borderId="14" xfId="26" applyFont="1" applyFill="1" applyBorder="1" applyAlignment="1">
      <alignment horizontal="left" vertical="center" wrapText="1" readingOrder="1"/>
      <protection/>
    </xf>
    <xf numFmtId="0" fontId="10" fillId="0" borderId="35" xfId="0" applyFont="1" applyFill="1" applyBorder="1" applyAlignment="1">
      <alignment horizontal="right" vertical="center" readingOrder="1"/>
    </xf>
    <xf numFmtId="0" fontId="10" fillId="0" borderId="49" xfId="0" applyFont="1" applyFill="1" applyBorder="1" applyAlignment="1">
      <alignment horizontal="right" vertical="center" readingOrder="1"/>
    </xf>
    <xf numFmtId="9" fontId="10" fillId="0" borderId="53" xfId="0" applyNumberFormat="1" applyFont="1" applyFill="1" applyBorder="1" applyAlignment="1">
      <alignment horizontal="right" vertical="center" readingOrder="1"/>
    </xf>
    <xf numFmtId="3" fontId="18" fillId="0" borderId="37" xfId="15" applyNumberFormat="1" applyFont="1" applyFill="1" applyBorder="1" applyAlignment="1">
      <alignment vertical="center" readingOrder="1"/>
    </xf>
    <xf numFmtId="3" fontId="6" fillId="0" borderId="0" xfId="0" applyNumberFormat="1" applyFont="1" applyFill="1" applyAlignment="1">
      <alignment vertical="center" readingOrder="1"/>
    </xf>
    <xf numFmtId="3" fontId="15" fillId="0" borderId="0" xfId="0" applyNumberFormat="1" applyFont="1" applyFill="1" applyBorder="1" applyAlignment="1">
      <alignment vertical="center" readingOrder="1"/>
    </xf>
    <xf numFmtId="3" fontId="9" fillId="0" borderId="0" xfId="0" applyNumberFormat="1" applyFont="1" applyFill="1" applyBorder="1" applyAlignment="1">
      <alignment vertical="center" readingOrder="1"/>
    </xf>
    <xf numFmtId="3" fontId="11" fillId="0" borderId="0" xfId="26" applyNumberFormat="1" applyFont="1" applyFill="1" applyBorder="1" applyAlignment="1">
      <alignment horizontal="center" vertical="center" wrapText="1" readingOrder="1"/>
      <protection/>
    </xf>
    <xf numFmtId="3" fontId="6" fillId="0" borderId="0" xfId="0" applyNumberFormat="1" applyFont="1" applyFill="1" applyBorder="1" applyAlignment="1">
      <alignment horizontal="right" vertical="center" readingOrder="1"/>
    </xf>
    <xf numFmtId="3" fontId="6" fillId="0" borderId="0" xfId="0" applyNumberFormat="1" applyFont="1" applyFill="1" applyBorder="1" applyAlignment="1">
      <alignment vertical="center" readingOrder="1"/>
    </xf>
    <xf numFmtId="172" fontId="6" fillId="0" borderId="0" xfId="0" applyNumberFormat="1" applyFont="1" applyFill="1" applyBorder="1" applyAlignment="1">
      <alignment horizontal="right" vertical="center" readingOrder="1"/>
    </xf>
    <xf numFmtId="0" fontId="9" fillId="2" borderId="32" xfId="0" applyFont="1" applyFill="1" applyBorder="1" applyAlignment="1">
      <alignment horizontal="center" vertical="center" readingOrder="1"/>
    </xf>
    <xf numFmtId="0" fontId="9" fillId="2" borderId="3" xfId="0" applyFont="1" applyFill="1" applyBorder="1" applyAlignment="1">
      <alignment horizontal="center" vertical="center" readingOrder="1"/>
    </xf>
    <xf numFmtId="0" fontId="9" fillId="2" borderId="37" xfId="0" applyFont="1" applyFill="1" applyBorder="1" applyAlignment="1">
      <alignment horizontal="center" vertical="center" readingOrder="1"/>
    </xf>
    <xf numFmtId="0" fontId="9" fillId="2" borderId="3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 textRotation="90" wrapText="1" readingOrder="1"/>
    </xf>
    <xf numFmtId="0" fontId="14" fillId="0" borderId="32" xfId="0" applyFont="1" applyBorder="1" applyAlignment="1">
      <alignment horizontal="center" vertical="center" readingOrder="1"/>
    </xf>
    <xf numFmtId="0" fontId="14" fillId="0" borderId="3" xfId="0" applyFont="1" applyBorder="1" applyAlignment="1">
      <alignment horizontal="center" vertical="center" readingOrder="1"/>
    </xf>
    <xf numFmtId="0" fontId="14" fillId="0" borderId="37" xfId="0" applyFont="1" applyBorder="1" applyAlignment="1">
      <alignment horizontal="center" vertical="center" readingOrder="1"/>
    </xf>
    <xf numFmtId="0" fontId="9" fillId="2" borderId="32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16" fillId="2" borderId="43" xfId="0" applyFont="1" applyFill="1" applyBorder="1" applyAlignment="1">
      <alignment horizontal="center" vertical="center" textRotation="90" readingOrder="1"/>
    </xf>
    <xf numFmtId="0" fontId="16" fillId="2" borderId="39" xfId="0" applyFont="1" applyFill="1" applyBorder="1" applyAlignment="1">
      <alignment horizontal="center" vertical="center" textRotation="90" readingOrder="1"/>
    </xf>
    <xf numFmtId="0" fontId="9" fillId="2" borderId="39" xfId="0" applyFont="1" applyFill="1" applyBorder="1" applyAlignment="1">
      <alignment horizontal="center" vertical="center" textRotation="90" wrapText="1" readingOrder="1"/>
    </xf>
    <xf numFmtId="0" fontId="9" fillId="2" borderId="51" xfId="0" applyFont="1" applyFill="1" applyBorder="1" applyAlignment="1">
      <alignment horizontal="center" vertical="center" textRotation="90" wrapText="1" readingOrder="1"/>
    </xf>
    <xf numFmtId="0" fontId="16" fillId="2" borderId="51" xfId="0" applyFont="1" applyFill="1" applyBorder="1" applyAlignment="1">
      <alignment horizontal="center" vertical="center" textRotation="90" readingOrder="1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S_Arabic" xfId="21"/>
    <cellStyle name="Normal 2" xfId="22"/>
    <cellStyle name="Normal 3" xfId="23"/>
    <cellStyle name="Normal 5" xfId="24"/>
    <cellStyle name="Normal 6" xfId="25"/>
    <cellStyle name="Normal_page_14_15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K1"/>
  <sheetViews>
    <sheetView tabSelected="1" workbookViewId="0" topLeftCell="A1">
      <selection activeCell="A3" sqref="A3"/>
    </sheetView>
  </sheetViews>
  <sheetFormatPr defaultColWidth="9.140625" defaultRowHeight="12.75"/>
  <sheetData>
    <row r="1" spans="1:11" ht="26.25" thickBot="1">
      <c r="A1" s="190" t="s">
        <v>233</v>
      </c>
      <c r="B1" s="191"/>
      <c r="C1" s="191"/>
      <c r="D1" s="191"/>
      <c r="E1" s="191"/>
      <c r="F1" s="191"/>
      <c r="G1" s="191"/>
      <c r="H1" s="191"/>
      <c r="I1" s="191"/>
      <c r="J1" s="191"/>
      <c r="K1" s="192"/>
    </row>
  </sheetData>
  <mergeCells count="1">
    <mergeCell ref="A1:K1"/>
  </mergeCells>
  <printOptions horizontalCentered="1" vertic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AC456"/>
  <sheetViews>
    <sheetView workbookViewId="0" topLeftCell="A1">
      <selection activeCell="A1" sqref="A1"/>
    </sheetView>
  </sheetViews>
  <sheetFormatPr defaultColWidth="9.140625" defaultRowHeight="12.75"/>
  <cols>
    <col min="1" max="1" width="18.140625" style="23" customWidth="1"/>
    <col min="2" max="2" width="17.7109375" style="7" bestFit="1" customWidth="1"/>
    <col min="3" max="3" width="18.00390625" style="4" customWidth="1"/>
    <col min="4" max="5" width="15.57421875" style="4" customWidth="1"/>
    <col min="6" max="6" width="15.7109375" style="4" customWidth="1"/>
    <col min="7" max="7" width="5.7109375" style="4" bestFit="1" customWidth="1"/>
    <col min="8" max="9" width="6.00390625" style="4" bestFit="1" customWidth="1"/>
    <col min="10" max="10" width="7.28125" style="4" bestFit="1" customWidth="1"/>
    <col min="11" max="11" width="5.7109375" style="4" bestFit="1" customWidth="1"/>
    <col min="12" max="28" width="9.140625" style="2" customWidth="1"/>
    <col min="29" max="16384" width="9.140625" style="4" customWidth="1"/>
  </cols>
  <sheetData>
    <row r="1" ht="18.75">
      <c r="A1" s="6" t="s">
        <v>114</v>
      </c>
    </row>
    <row r="2" ht="12.75">
      <c r="A2" s="5" t="s">
        <v>115</v>
      </c>
    </row>
    <row r="3" ht="12.75">
      <c r="A3" s="13" t="s">
        <v>217</v>
      </c>
    </row>
    <row r="4" ht="9.75" customHeight="1" thickBot="1">
      <c r="A4" s="10"/>
    </row>
    <row r="5" spans="1:5" ht="9.75" customHeight="1" thickBot="1">
      <c r="A5" s="10"/>
      <c r="B5" s="185" t="s">
        <v>116</v>
      </c>
      <c r="C5" s="186"/>
      <c r="D5" s="186"/>
      <c r="E5" s="187"/>
    </row>
    <row r="6" spans="1:5" ht="13.5" thickBot="1">
      <c r="A6" s="10"/>
      <c r="B6" s="112">
        <v>2004</v>
      </c>
      <c r="C6" s="114">
        <v>2005</v>
      </c>
      <c r="D6" s="114">
        <v>2006</v>
      </c>
      <c r="E6" s="113">
        <v>2007</v>
      </c>
    </row>
    <row r="7" spans="1:11" ht="15.75">
      <c r="A7" s="164" t="s">
        <v>117</v>
      </c>
      <c r="B7" s="39">
        <v>2483</v>
      </c>
      <c r="C7" s="40">
        <v>696</v>
      </c>
      <c r="D7" s="40">
        <v>482</v>
      </c>
      <c r="E7" s="56">
        <v>737</v>
      </c>
      <c r="F7" s="75"/>
      <c r="G7" s="75"/>
      <c r="H7" s="75"/>
      <c r="I7" s="75"/>
      <c r="J7" s="75"/>
      <c r="K7" s="75"/>
    </row>
    <row r="8" spans="1:11" ht="21">
      <c r="A8" s="163" t="s">
        <v>118</v>
      </c>
      <c r="B8" s="43">
        <v>451</v>
      </c>
      <c r="C8" s="44">
        <v>422</v>
      </c>
      <c r="D8" s="44">
        <v>286</v>
      </c>
      <c r="E8" s="65">
        <v>316</v>
      </c>
      <c r="F8" s="75"/>
      <c r="G8" s="75"/>
      <c r="H8" s="75"/>
      <c r="I8" s="75"/>
      <c r="J8" s="75"/>
      <c r="K8" s="75"/>
    </row>
    <row r="9" spans="1:11" ht="21">
      <c r="A9" s="163" t="s">
        <v>218</v>
      </c>
      <c r="B9" s="43">
        <v>8637</v>
      </c>
      <c r="C9" s="44">
        <v>1783</v>
      </c>
      <c r="D9" s="44">
        <v>1486</v>
      </c>
      <c r="E9" s="65">
        <v>3103</v>
      </c>
      <c r="F9" s="75"/>
      <c r="G9" s="75"/>
      <c r="H9" s="75"/>
      <c r="I9" s="75"/>
      <c r="J9" s="75"/>
      <c r="K9" s="75"/>
    </row>
    <row r="10" spans="1:11" ht="14.25" customHeight="1" thickBot="1">
      <c r="A10" s="171" t="s">
        <v>119</v>
      </c>
      <c r="B10" s="109">
        <v>293346</v>
      </c>
      <c r="C10" s="108">
        <v>98494</v>
      </c>
      <c r="D10" s="108">
        <v>60523</v>
      </c>
      <c r="E10" s="110">
        <v>80014</v>
      </c>
      <c r="F10" s="75"/>
      <c r="G10" s="75"/>
      <c r="H10" s="75"/>
      <c r="I10" s="75"/>
      <c r="J10" s="75"/>
      <c r="K10" s="75"/>
    </row>
    <row r="11" spans="1:11" s="9" customFormat="1" ht="15.75">
      <c r="A11" s="11" t="s">
        <v>113</v>
      </c>
      <c r="B11" s="123"/>
      <c r="C11" s="123"/>
      <c r="D11" s="123"/>
      <c r="E11" s="123"/>
      <c r="F11" s="75"/>
      <c r="G11" s="75"/>
      <c r="H11" s="75"/>
      <c r="I11" s="75"/>
      <c r="J11" s="75"/>
      <c r="K11" s="75"/>
    </row>
    <row r="12" spans="2:28" s="9" customFormat="1" ht="12.75">
      <c r="B12" s="80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s="9" customFormat="1" ht="18.75">
      <c r="A13" s="6" t="s">
        <v>219</v>
      </c>
      <c r="B13" s="80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s="9" customFormat="1" ht="12.75">
      <c r="A14" s="5" t="s">
        <v>115</v>
      </c>
      <c r="B14" s="80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s="9" customFormat="1" ht="12.75">
      <c r="A15" s="13" t="s">
        <v>217</v>
      </c>
      <c r="B15" s="80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s="9" customFormat="1" ht="9.75" customHeight="1" thickBot="1">
      <c r="A16" s="11"/>
      <c r="B16" s="80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2:29" s="9" customFormat="1" ht="13.5" thickBot="1">
      <c r="B17" s="10"/>
      <c r="C17" s="185" t="s">
        <v>116</v>
      </c>
      <c r="D17" s="186"/>
      <c r="E17" s="186"/>
      <c r="F17" s="187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2:29" s="9" customFormat="1" ht="13.5" thickBot="1">
      <c r="B18" s="10"/>
      <c r="C18" s="112">
        <v>2004</v>
      </c>
      <c r="D18" s="114">
        <v>2005</v>
      </c>
      <c r="E18" s="114">
        <v>2006</v>
      </c>
      <c r="F18" s="113">
        <v>2007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s="9" customFormat="1" ht="12.75">
      <c r="A19" s="189" t="s">
        <v>220</v>
      </c>
      <c r="B19" s="164" t="s">
        <v>120</v>
      </c>
      <c r="C19" s="39">
        <v>1700</v>
      </c>
      <c r="D19" s="40">
        <v>307</v>
      </c>
      <c r="E19" s="40">
        <v>372</v>
      </c>
      <c r="F19" s="56">
        <v>917.7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s="9" customFormat="1" ht="12.75">
      <c r="A20" s="197"/>
      <c r="B20" s="163" t="s">
        <v>121</v>
      </c>
      <c r="C20" s="43">
        <v>1820</v>
      </c>
      <c r="D20" s="44">
        <v>520</v>
      </c>
      <c r="E20" s="44">
        <v>419</v>
      </c>
      <c r="F20" s="65">
        <v>306.7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s="9" customFormat="1" ht="12.75">
      <c r="A21" s="197"/>
      <c r="B21" s="163" t="s">
        <v>122</v>
      </c>
      <c r="C21" s="43">
        <v>1970</v>
      </c>
      <c r="D21" s="44">
        <v>474</v>
      </c>
      <c r="E21" s="44">
        <v>133</v>
      </c>
      <c r="F21" s="65">
        <v>599.6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s="9" customFormat="1" ht="12.75">
      <c r="A22" s="197"/>
      <c r="B22" s="163" t="s">
        <v>123</v>
      </c>
      <c r="C22" s="43">
        <v>452</v>
      </c>
      <c r="D22" s="44">
        <v>97</v>
      </c>
      <c r="E22" s="44">
        <v>100</v>
      </c>
      <c r="F22" s="65">
        <v>118.6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s="9" customFormat="1" ht="12.75">
      <c r="A23" s="197"/>
      <c r="B23" s="163" t="s">
        <v>107</v>
      </c>
      <c r="C23" s="43">
        <v>1016</v>
      </c>
      <c r="D23" s="44">
        <v>175</v>
      </c>
      <c r="E23" s="44">
        <v>267</v>
      </c>
      <c r="F23" s="65">
        <v>616.3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s="9" customFormat="1" ht="12.75">
      <c r="A24" s="197"/>
      <c r="B24" s="163" t="s">
        <v>112</v>
      </c>
      <c r="C24" s="88">
        <v>1049</v>
      </c>
      <c r="D24" s="89">
        <v>183</v>
      </c>
      <c r="E24" s="89">
        <v>140</v>
      </c>
      <c r="F24" s="93">
        <v>391.9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s="9" customFormat="1" ht="12.75">
      <c r="A25" s="197"/>
      <c r="B25" s="163" t="s">
        <v>124</v>
      </c>
      <c r="C25" s="88">
        <v>408</v>
      </c>
      <c r="D25" s="89">
        <v>10</v>
      </c>
      <c r="E25" s="89">
        <v>11</v>
      </c>
      <c r="F25" s="93">
        <v>9.9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s="9" customFormat="1" ht="13.5" thickBot="1">
      <c r="A26" s="197"/>
      <c r="B26" s="173" t="s">
        <v>125</v>
      </c>
      <c r="C26" s="88">
        <v>222</v>
      </c>
      <c r="D26" s="89">
        <v>15</v>
      </c>
      <c r="E26" s="89">
        <v>44</v>
      </c>
      <c r="F26" s="93">
        <v>142.2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s="9" customFormat="1" ht="13.5" thickBot="1">
      <c r="A27" s="198"/>
      <c r="B27" s="81" t="s">
        <v>75</v>
      </c>
      <c r="C27" s="84">
        <f>SUM(C19:C26)</f>
        <v>8637</v>
      </c>
      <c r="D27" s="84">
        <f>SUM(D19:D26)</f>
        <v>1781</v>
      </c>
      <c r="E27" s="84">
        <f>SUM(E19:E26)</f>
        <v>1486</v>
      </c>
      <c r="F27" s="152">
        <f>SUM(F19:F26)</f>
        <v>3102.8999999999996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8" s="9" customFormat="1" ht="12.75">
      <c r="A28" s="11" t="s">
        <v>126</v>
      </c>
      <c r="B28" s="80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s="9" customFormat="1" ht="12.75">
      <c r="A29" s="11"/>
      <c r="B29" s="80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3" ht="18.75">
      <c r="A30" s="6" t="s">
        <v>232</v>
      </c>
      <c r="B30" s="80"/>
      <c r="C30" s="9"/>
    </row>
    <row r="31" spans="1:3" ht="12.75">
      <c r="A31" s="5" t="s">
        <v>115</v>
      </c>
      <c r="B31" s="80"/>
      <c r="C31" s="9"/>
    </row>
    <row r="32" spans="1:28" s="9" customFormat="1" ht="9.75" customHeight="1" thickBot="1">
      <c r="A32" s="1"/>
      <c r="B32" s="1"/>
      <c r="C32" s="1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s="9" customFormat="1" ht="13.5" thickBot="1">
      <c r="A33" s="47" t="s">
        <v>116</v>
      </c>
      <c r="B33" s="132" t="s">
        <v>127</v>
      </c>
      <c r="C33" s="151" t="s">
        <v>128</v>
      </c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s="9" customFormat="1" ht="12.75">
      <c r="A34" s="131">
        <v>1999</v>
      </c>
      <c r="B34" s="149">
        <v>8</v>
      </c>
      <c r="C34" s="150">
        <v>37</v>
      </c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s="9" customFormat="1" ht="12.75">
      <c r="A35" s="144">
        <v>2000</v>
      </c>
      <c r="B35" s="136">
        <v>9</v>
      </c>
      <c r="C35" s="133">
        <v>22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s="9" customFormat="1" ht="12.75">
      <c r="A36" s="144">
        <v>2001</v>
      </c>
      <c r="B36" s="136">
        <v>6</v>
      </c>
      <c r="C36" s="133">
        <v>14</v>
      </c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s="9" customFormat="1" ht="12.75">
      <c r="A37" s="144">
        <v>2002</v>
      </c>
      <c r="B37" s="136">
        <v>7</v>
      </c>
      <c r="C37" s="133">
        <v>23</v>
      </c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s="9" customFormat="1" ht="12.75">
      <c r="A38" s="144">
        <v>2003</v>
      </c>
      <c r="B38" s="136">
        <v>4</v>
      </c>
      <c r="C38" s="133">
        <v>13</v>
      </c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s="9" customFormat="1" ht="12.75">
      <c r="A39" s="144">
        <v>2004</v>
      </c>
      <c r="B39" s="136">
        <v>9</v>
      </c>
      <c r="C39" s="133">
        <v>31</v>
      </c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s="9" customFormat="1" ht="13.5" thickBot="1">
      <c r="A40" s="145">
        <v>2005</v>
      </c>
      <c r="B40" s="137">
        <v>10</v>
      </c>
      <c r="C40" s="134">
        <v>38</v>
      </c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s="9" customFormat="1" ht="13.5" thickBot="1">
      <c r="A41" s="24" t="s">
        <v>75</v>
      </c>
      <c r="B41" s="138">
        <f>SUM(B34:B40)</f>
        <v>53</v>
      </c>
      <c r="C41" s="135">
        <f>SUM(C34:C40)</f>
        <v>178</v>
      </c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s="9" customFormat="1" ht="12.75">
      <c r="A42" s="11"/>
      <c r="B42" s="80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s="9" customFormat="1" ht="18.75">
      <c r="A43" s="6" t="s">
        <v>129</v>
      </c>
      <c r="B43" s="80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s="9" customFormat="1" ht="12.75">
      <c r="A44" s="5" t="s">
        <v>115</v>
      </c>
      <c r="B44" s="80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s="9" customFormat="1" ht="9.75" customHeight="1" thickBot="1">
      <c r="A45" s="11"/>
      <c r="B45" s="80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s="9" customFormat="1" ht="13.5" thickBot="1">
      <c r="A46" s="115" t="s">
        <v>130</v>
      </c>
      <c r="B46" s="143" t="s">
        <v>131</v>
      </c>
      <c r="C46" s="59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s="9" customFormat="1" ht="12.75">
      <c r="A47" s="146" t="s">
        <v>132</v>
      </c>
      <c r="B47" s="174" t="s">
        <v>108</v>
      </c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s="9" customFormat="1" ht="12.75">
      <c r="A48" s="147" t="s">
        <v>133</v>
      </c>
      <c r="B48" s="175" t="s">
        <v>109</v>
      </c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s="9" customFormat="1" ht="12.75">
      <c r="A49" s="147" t="s">
        <v>134</v>
      </c>
      <c r="B49" s="175" t="s">
        <v>110</v>
      </c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s="9" customFormat="1" ht="12.75">
      <c r="A50" s="147" t="s">
        <v>112</v>
      </c>
      <c r="B50" s="175" t="s">
        <v>111</v>
      </c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 s="9" customFormat="1" ht="13.5" thickBot="1">
      <c r="A51" s="148" t="s">
        <v>135</v>
      </c>
      <c r="B51" s="176">
        <v>0.1</v>
      </c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1:28" s="9" customFormat="1" ht="12.75">
      <c r="A52" s="11"/>
      <c r="B52" s="80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28" s="9" customFormat="1" ht="12.75">
      <c r="A53" s="11"/>
      <c r="B53" s="80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 s="9" customFormat="1" ht="12.75">
      <c r="A54" s="11"/>
      <c r="B54" s="80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:28" s="9" customFormat="1" ht="12.75">
      <c r="A55" s="11"/>
      <c r="B55" s="80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s="9" customFormat="1" ht="12.75">
      <c r="A56" s="11"/>
      <c r="B56" s="80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1:28" s="9" customFormat="1" ht="12.75">
      <c r="A57" s="11"/>
      <c r="B57" s="80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s="9" customFormat="1" ht="12.75">
      <c r="A58" s="11"/>
      <c r="B58" s="80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1:28" s="9" customFormat="1" ht="12.75">
      <c r="A59" s="11"/>
      <c r="B59" s="80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28" s="9" customFormat="1" ht="12.75">
      <c r="A60" s="11"/>
      <c r="B60" s="80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28" s="9" customFormat="1" ht="12.75">
      <c r="A61" s="11"/>
      <c r="B61" s="80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s="9" customFormat="1" ht="12.75">
      <c r="A62" s="11"/>
      <c r="B62" s="80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1:28" s="9" customFormat="1" ht="12.75">
      <c r="A63" s="11"/>
      <c r="B63" s="80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1:28" s="9" customFormat="1" ht="12.75">
      <c r="A64" s="11"/>
      <c r="B64" s="80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 s="9" customFormat="1" ht="12.75">
      <c r="A65" s="11"/>
      <c r="B65" s="80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spans="1:28" s="9" customFormat="1" ht="12.75">
      <c r="A66" s="11"/>
      <c r="B66" s="80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1:28" s="9" customFormat="1" ht="12.75">
      <c r="A67" s="11"/>
      <c r="B67" s="80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1:28" s="9" customFormat="1" ht="12.75">
      <c r="A68" s="11"/>
      <c r="B68" s="80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1:28" s="9" customFormat="1" ht="12.75">
      <c r="A69" s="11"/>
      <c r="B69" s="80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1:28" s="9" customFormat="1" ht="12.75">
      <c r="A70" s="11"/>
      <c r="B70" s="80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1:28" s="9" customFormat="1" ht="12.75">
      <c r="A71" s="11"/>
      <c r="B71" s="80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1:28" s="9" customFormat="1" ht="12.75">
      <c r="A72" s="11"/>
      <c r="B72" s="80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1:28" s="9" customFormat="1" ht="12.75">
      <c r="A73" s="11"/>
      <c r="B73" s="80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1:28" s="9" customFormat="1" ht="12.75">
      <c r="A74" s="11"/>
      <c r="B74" s="80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1:28" s="9" customFormat="1" ht="12.75">
      <c r="A75" s="11"/>
      <c r="B75" s="80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1:28" s="9" customFormat="1" ht="12.75">
      <c r="A76" s="11"/>
      <c r="B76" s="80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1:28" s="9" customFormat="1" ht="12.75">
      <c r="A77" s="11"/>
      <c r="B77" s="80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1:28" s="9" customFormat="1" ht="12.75">
      <c r="A78" s="11"/>
      <c r="B78" s="80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1:28" s="9" customFormat="1" ht="12.75">
      <c r="A79" s="11"/>
      <c r="B79" s="80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1:28" s="9" customFormat="1" ht="12.75">
      <c r="A80" s="11"/>
      <c r="B80" s="80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1:28" s="9" customFormat="1" ht="12.75">
      <c r="A81" s="11"/>
      <c r="B81" s="80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1:28" s="9" customFormat="1" ht="12.75">
      <c r="A82" s="11"/>
      <c r="B82" s="80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1:28" s="9" customFormat="1" ht="12.75">
      <c r="A83" s="11"/>
      <c r="B83" s="80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1:28" s="9" customFormat="1" ht="12.75">
      <c r="A84" s="11"/>
      <c r="B84" s="80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spans="1:28" s="9" customFormat="1" ht="12.75">
      <c r="A85" s="11"/>
      <c r="B85" s="80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spans="1:28" s="9" customFormat="1" ht="12.75">
      <c r="A86" s="11"/>
      <c r="B86" s="80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1:28" s="9" customFormat="1" ht="12.75">
      <c r="A87" s="11"/>
      <c r="B87" s="80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1:28" s="9" customFormat="1" ht="12.75">
      <c r="A88" s="11"/>
      <c r="B88" s="80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1:28" s="9" customFormat="1" ht="12.75">
      <c r="A89" s="11"/>
      <c r="B89" s="80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1:28" s="9" customFormat="1" ht="12.75">
      <c r="A90" s="11"/>
      <c r="B90" s="80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1:28" s="9" customFormat="1" ht="12.75">
      <c r="A91" s="11"/>
      <c r="B91" s="80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1:28" s="9" customFormat="1" ht="12.75">
      <c r="A92" s="11"/>
      <c r="B92" s="80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1:28" s="9" customFormat="1" ht="12.75">
      <c r="A93" s="11"/>
      <c r="B93" s="80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spans="1:28" s="9" customFormat="1" ht="12.75">
      <c r="A94" s="11"/>
      <c r="B94" s="80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1:28" s="9" customFormat="1" ht="12.75">
      <c r="A95" s="11"/>
      <c r="B95" s="80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spans="1:28" s="9" customFormat="1" ht="12.75">
      <c r="A96" s="11"/>
      <c r="B96" s="80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spans="1:28" s="9" customFormat="1" ht="12.75">
      <c r="A97" s="11"/>
      <c r="B97" s="80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spans="1:28" s="9" customFormat="1" ht="12.75">
      <c r="A98" s="11"/>
      <c r="B98" s="80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spans="1:28" s="9" customFormat="1" ht="12.75">
      <c r="A99" s="11"/>
      <c r="B99" s="80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spans="1:28" s="9" customFormat="1" ht="12.75">
      <c r="A100" s="11"/>
      <c r="B100" s="80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spans="1:28" s="9" customFormat="1" ht="12.75">
      <c r="A101" s="11"/>
      <c r="B101" s="80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 spans="1:28" s="9" customFormat="1" ht="12.75">
      <c r="A102" s="11"/>
      <c r="B102" s="80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spans="1:28" s="9" customFormat="1" ht="12.75">
      <c r="A103" s="11"/>
      <c r="B103" s="80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spans="1:28" s="9" customFormat="1" ht="12.75">
      <c r="A104" s="11"/>
      <c r="B104" s="80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spans="1:28" s="9" customFormat="1" ht="12.75">
      <c r="A105" s="11"/>
      <c r="B105" s="80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spans="1:28" s="9" customFormat="1" ht="12.75">
      <c r="A106" s="11"/>
      <c r="B106" s="80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spans="1:28" s="9" customFormat="1" ht="12.75">
      <c r="A107" s="11"/>
      <c r="B107" s="80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spans="1:28" s="9" customFormat="1" ht="12.75">
      <c r="A108" s="11"/>
      <c r="B108" s="80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spans="1:28" s="9" customFormat="1" ht="12.75">
      <c r="A109" s="11"/>
      <c r="B109" s="80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spans="1:28" s="9" customFormat="1" ht="12.75">
      <c r="A110" s="11"/>
      <c r="B110" s="80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spans="1:28" s="9" customFormat="1" ht="12.75">
      <c r="A111" s="11"/>
      <c r="B111" s="80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spans="1:28" s="9" customFormat="1" ht="12.75">
      <c r="A112" s="11"/>
      <c r="B112" s="80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spans="1:28" s="9" customFormat="1" ht="12.75">
      <c r="A113" s="11"/>
      <c r="B113" s="80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spans="1:28" s="9" customFormat="1" ht="12.75">
      <c r="A114" s="11"/>
      <c r="B114" s="80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spans="1:28" s="9" customFormat="1" ht="12.75">
      <c r="A115" s="11"/>
      <c r="B115" s="80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spans="1:28" s="9" customFormat="1" ht="12.75">
      <c r="A116" s="11"/>
      <c r="B116" s="80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spans="1:28" s="9" customFormat="1" ht="12.75">
      <c r="A117" s="11"/>
      <c r="B117" s="80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spans="1:28" s="9" customFormat="1" ht="12.75">
      <c r="A118" s="11"/>
      <c r="B118" s="80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spans="1:28" s="9" customFormat="1" ht="12.75">
      <c r="A119" s="11"/>
      <c r="B119" s="80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spans="1:28" s="9" customFormat="1" ht="12.75">
      <c r="A120" s="11"/>
      <c r="B120" s="80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spans="1:28" s="9" customFormat="1" ht="12.75">
      <c r="A121" s="11"/>
      <c r="B121" s="80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spans="1:28" s="9" customFormat="1" ht="12.75">
      <c r="A122" s="11"/>
      <c r="B122" s="80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spans="1:28" s="9" customFormat="1" ht="12.75">
      <c r="A123" s="11"/>
      <c r="B123" s="80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</row>
    <row r="124" spans="1:28" s="9" customFormat="1" ht="12.75">
      <c r="A124" s="11"/>
      <c r="B124" s="80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spans="1:28" s="9" customFormat="1" ht="12.75">
      <c r="A125" s="11"/>
      <c r="B125" s="80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spans="1:28" s="9" customFormat="1" ht="12.75">
      <c r="A126" s="11"/>
      <c r="B126" s="80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spans="1:28" s="9" customFormat="1" ht="12.75">
      <c r="A127" s="11"/>
      <c r="B127" s="80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 spans="1:28" s="9" customFormat="1" ht="12.75">
      <c r="A128" s="11"/>
      <c r="B128" s="80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spans="1:28" s="9" customFormat="1" ht="12.75">
      <c r="A129" s="11"/>
      <c r="B129" s="80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 spans="1:28" s="9" customFormat="1" ht="12.75">
      <c r="A130" s="11"/>
      <c r="B130" s="80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spans="1:28" s="9" customFormat="1" ht="12.75">
      <c r="A131" s="11"/>
      <c r="B131" s="80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</row>
    <row r="132" spans="1:28" s="9" customFormat="1" ht="12.75">
      <c r="A132" s="11"/>
      <c r="B132" s="80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</row>
    <row r="133" spans="1:28" s="9" customFormat="1" ht="12.75">
      <c r="A133" s="11"/>
      <c r="B133" s="80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</row>
    <row r="134" spans="1:28" s="9" customFormat="1" ht="12.75">
      <c r="A134" s="11"/>
      <c r="B134" s="80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</row>
    <row r="135" spans="1:28" s="9" customFormat="1" ht="12.75">
      <c r="A135" s="11"/>
      <c r="B135" s="80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</row>
    <row r="136" spans="1:28" s="9" customFormat="1" ht="12.75">
      <c r="A136" s="11"/>
      <c r="B136" s="80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</row>
    <row r="137" spans="1:28" s="9" customFormat="1" ht="12.75">
      <c r="A137" s="11"/>
      <c r="B137" s="80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</row>
    <row r="138" spans="1:28" s="9" customFormat="1" ht="12.75">
      <c r="A138" s="11"/>
      <c r="B138" s="80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</row>
    <row r="139" spans="1:28" s="9" customFormat="1" ht="12.75">
      <c r="A139" s="11"/>
      <c r="B139" s="80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</row>
    <row r="140" spans="1:28" s="9" customFormat="1" ht="12.75">
      <c r="A140" s="11"/>
      <c r="B140" s="80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 spans="1:28" s="9" customFormat="1" ht="12.75">
      <c r="A141" s="11"/>
      <c r="B141" s="80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</row>
    <row r="142" spans="1:28" s="9" customFormat="1" ht="12.75">
      <c r="A142" s="11"/>
      <c r="B142" s="80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</row>
    <row r="143" spans="1:28" s="9" customFormat="1" ht="12.75">
      <c r="A143" s="11"/>
      <c r="B143" s="80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</row>
    <row r="144" spans="1:28" s="9" customFormat="1" ht="12.75">
      <c r="A144" s="11"/>
      <c r="B144" s="80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 spans="1:28" s="9" customFormat="1" ht="12.75">
      <c r="A145" s="11"/>
      <c r="B145" s="80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</row>
    <row r="146" spans="1:28" s="9" customFormat="1" ht="12.75">
      <c r="A146" s="11"/>
      <c r="B146" s="80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</row>
    <row r="147" spans="1:28" s="9" customFormat="1" ht="12.75">
      <c r="A147" s="11"/>
      <c r="B147" s="80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</row>
    <row r="148" spans="1:28" s="9" customFormat="1" ht="12.75">
      <c r="A148" s="11"/>
      <c r="B148" s="80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</row>
    <row r="149" spans="1:28" s="9" customFormat="1" ht="12.75">
      <c r="A149" s="11"/>
      <c r="B149" s="80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</row>
    <row r="150" spans="1:28" s="9" customFormat="1" ht="12.75">
      <c r="A150" s="11"/>
      <c r="B150" s="80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</row>
    <row r="151" spans="1:28" s="9" customFormat="1" ht="12.75">
      <c r="A151" s="11"/>
      <c r="B151" s="80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</row>
    <row r="152" spans="1:28" s="9" customFormat="1" ht="12.75">
      <c r="A152" s="11"/>
      <c r="B152" s="80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</row>
    <row r="153" spans="1:28" s="9" customFormat="1" ht="12.75">
      <c r="A153" s="11"/>
      <c r="B153" s="80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</row>
    <row r="154" spans="1:28" s="9" customFormat="1" ht="12.75">
      <c r="A154" s="11"/>
      <c r="B154" s="80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</row>
    <row r="155" spans="1:28" s="9" customFormat="1" ht="12.75">
      <c r="A155" s="11"/>
      <c r="B155" s="80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</row>
    <row r="156" spans="1:28" s="9" customFormat="1" ht="12.75">
      <c r="A156" s="11"/>
      <c r="B156" s="80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</row>
    <row r="157" spans="1:28" s="9" customFormat="1" ht="12.75">
      <c r="A157" s="11"/>
      <c r="B157" s="80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</row>
    <row r="158" spans="1:28" s="9" customFormat="1" ht="12.75">
      <c r="A158" s="11"/>
      <c r="B158" s="80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</row>
    <row r="159" spans="1:28" s="9" customFormat="1" ht="12.75">
      <c r="A159" s="11"/>
      <c r="B159" s="80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</row>
    <row r="160" spans="1:28" s="9" customFormat="1" ht="12.75">
      <c r="A160" s="11"/>
      <c r="B160" s="80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</row>
    <row r="161" spans="1:28" s="9" customFormat="1" ht="12.75">
      <c r="A161" s="11"/>
      <c r="B161" s="80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</row>
    <row r="162" spans="1:28" s="9" customFormat="1" ht="12.75">
      <c r="A162" s="11"/>
      <c r="B162" s="80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</row>
    <row r="163" spans="1:28" s="9" customFormat="1" ht="12.75">
      <c r="A163" s="11"/>
      <c r="B163" s="80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</row>
    <row r="164" spans="1:28" s="9" customFormat="1" ht="12.75">
      <c r="A164" s="11"/>
      <c r="B164" s="80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</row>
    <row r="165" spans="1:28" s="9" customFormat="1" ht="12.75">
      <c r="A165" s="11"/>
      <c r="B165" s="80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</row>
    <row r="166" spans="1:28" s="9" customFormat="1" ht="12.75">
      <c r="A166" s="11"/>
      <c r="B166" s="80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</row>
    <row r="167" spans="1:28" s="9" customFormat="1" ht="12.75">
      <c r="A167" s="11"/>
      <c r="B167" s="80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</row>
    <row r="168" spans="1:28" s="9" customFormat="1" ht="12.75">
      <c r="A168" s="11"/>
      <c r="B168" s="80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</row>
    <row r="169" spans="1:28" s="9" customFormat="1" ht="12.75">
      <c r="A169" s="11"/>
      <c r="B169" s="80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</row>
    <row r="170" spans="1:28" s="9" customFormat="1" ht="12.75">
      <c r="A170" s="11"/>
      <c r="B170" s="80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</row>
    <row r="171" spans="1:28" s="9" customFormat="1" ht="12.75">
      <c r="A171" s="11"/>
      <c r="B171" s="80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</row>
    <row r="172" spans="1:28" s="9" customFormat="1" ht="12.75">
      <c r="A172" s="11"/>
      <c r="B172" s="80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</row>
    <row r="173" spans="1:28" s="9" customFormat="1" ht="12.75">
      <c r="A173" s="11"/>
      <c r="B173" s="80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</row>
    <row r="174" spans="1:28" s="9" customFormat="1" ht="12.75">
      <c r="A174" s="11"/>
      <c r="B174" s="80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</row>
    <row r="175" spans="1:28" s="9" customFormat="1" ht="12.75">
      <c r="A175" s="11"/>
      <c r="B175" s="80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</row>
    <row r="176" spans="1:28" s="9" customFormat="1" ht="12.75">
      <c r="A176" s="11"/>
      <c r="B176" s="80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</row>
    <row r="177" spans="1:28" s="9" customFormat="1" ht="12.75">
      <c r="A177" s="11"/>
      <c r="B177" s="80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</row>
    <row r="178" spans="1:28" s="9" customFormat="1" ht="12.75">
      <c r="A178" s="11"/>
      <c r="B178" s="80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</row>
    <row r="179" spans="1:28" s="9" customFormat="1" ht="12.75">
      <c r="A179" s="11"/>
      <c r="B179" s="80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</row>
    <row r="180" spans="1:28" s="9" customFormat="1" ht="12.75">
      <c r="A180" s="11"/>
      <c r="B180" s="80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</row>
    <row r="181" spans="1:28" s="9" customFormat="1" ht="12.75">
      <c r="A181" s="11"/>
      <c r="B181" s="80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</row>
    <row r="182" spans="1:28" s="9" customFormat="1" ht="12.75">
      <c r="A182" s="11"/>
      <c r="B182" s="80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</row>
    <row r="183" spans="1:28" s="9" customFormat="1" ht="12.75">
      <c r="A183" s="11"/>
      <c r="B183" s="80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</row>
    <row r="184" spans="1:28" s="9" customFormat="1" ht="12.75">
      <c r="A184" s="11"/>
      <c r="B184" s="80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</row>
    <row r="185" spans="1:28" s="9" customFormat="1" ht="12.75">
      <c r="A185" s="11"/>
      <c r="B185" s="80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</row>
    <row r="186" spans="1:28" s="9" customFormat="1" ht="12.75">
      <c r="A186" s="11"/>
      <c r="B186" s="80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</row>
    <row r="187" spans="1:28" s="9" customFormat="1" ht="12.75">
      <c r="A187" s="11"/>
      <c r="B187" s="80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</row>
    <row r="188" spans="1:28" s="9" customFormat="1" ht="12.75">
      <c r="A188" s="11"/>
      <c r="B188" s="80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</row>
    <row r="189" spans="1:28" s="9" customFormat="1" ht="12.75">
      <c r="A189" s="11"/>
      <c r="B189" s="80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</row>
    <row r="190" spans="1:28" s="9" customFormat="1" ht="12.75">
      <c r="A190" s="11"/>
      <c r="B190" s="80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</row>
    <row r="191" spans="1:28" s="9" customFormat="1" ht="12.75">
      <c r="A191" s="11"/>
      <c r="B191" s="80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</row>
    <row r="192" spans="1:28" s="9" customFormat="1" ht="12.75">
      <c r="A192" s="11"/>
      <c r="B192" s="80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</row>
    <row r="193" spans="1:28" s="9" customFormat="1" ht="12.75">
      <c r="A193" s="11"/>
      <c r="B193" s="80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</row>
    <row r="194" spans="1:28" s="9" customFormat="1" ht="12.75">
      <c r="A194" s="11"/>
      <c r="B194" s="80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</row>
    <row r="195" spans="1:28" s="9" customFormat="1" ht="12.75">
      <c r="A195" s="11"/>
      <c r="B195" s="80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</row>
    <row r="196" spans="1:28" s="9" customFormat="1" ht="12.75">
      <c r="A196" s="11"/>
      <c r="B196" s="80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</row>
    <row r="197" spans="1:28" s="9" customFormat="1" ht="12.75">
      <c r="A197" s="11"/>
      <c r="B197" s="80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</row>
    <row r="198" spans="1:28" s="9" customFormat="1" ht="12.75">
      <c r="A198" s="11"/>
      <c r="B198" s="80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</row>
    <row r="199" spans="1:28" s="9" customFormat="1" ht="12.75">
      <c r="A199" s="11"/>
      <c r="B199" s="80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</row>
    <row r="200" spans="1:28" s="9" customFormat="1" ht="12.75">
      <c r="A200" s="11"/>
      <c r="B200" s="80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</row>
    <row r="201" spans="1:28" s="9" customFormat="1" ht="12.75">
      <c r="A201" s="11"/>
      <c r="B201" s="80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</row>
    <row r="202" spans="1:28" s="9" customFormat="1" ht="12.75">
      <c r="A202" s="11"/>
      <c r="B202" s="80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</row>
    <row r="203" spans="1:28" s="9" customFormat="1" ht="12.75">
      <c r="A203" s="11"/>
      <c r="B203" s="80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</row>
    <row r="204" spans="1:28" s="9" customFormat="1" ht="12.75">
      <c r="A204" s="11"/>
      <c r="B204" s="80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</row>
    <row r="205" spans="1:28" s="9" customFormat="1" ht="12.75">
      <c r="A205" s="11"/>
      <c r="B205" s="80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</row>
    <row r="206" spans="1:28" s="9" customFormat="1" ht="12.75">
      <c r="A206" s="11"/>
      <c r="B206" s="80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</row>
    <row r="207" spans="1:28" s="9" customFormat="1" ht="12.75">
      <c r="A207" s="11"/>
      <c r="B207" s="80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</row>
    <row r="208" spans="1:28" s="9" customFormat="1" ht="12.75">
      <c r="A208" s="11"/>
      <c r="B208" s="80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</row>
    <row r="209" spans="1:28" s="9" customFormat="1" ht="12.75">
      <c r="A209" s="11"/>
      <c r="B209" s="80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</row>
    <row r="210" spans="1:28" s="9" customFormat="1" ht="12.75">
      <c r="A210" s="11"/>
      <c r="B210" s="80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</row>
    <row r="211" spans="1:28" s="9" customFormat="1" ht="12.75">
      <c r="A211" s="11"/>
      <c r="B211" s="80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</row>
    <row r="212" spans="1:28" s="9" customFormat="1" ht="12.75">
      <c r="A212" s="11"/>
      <c r="B212" s="80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</row>
    <row r="213" spans="1:28" s="9" customFormat="1" ht="12.75">
      <c r="A213" s="11"/>
      <c r="B213" s="80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</row>
    <row r="214" spans="1:28" s="9" customFormat="1" ht="12.75">
      <c r="A214" s="11"/>
      <c r="B214" s="80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</row>
    <row r="215" spans="1:28" s="9" customFormat="1" ht="12.75">
      <c r="A215" s="11"/>
      <c r="B215" s="80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</row>
    <row r="216" spans="1:28" s="9" customFormat="1" ht="12.75">
      <c r="A216" s="11"/>
      <c r="B216" s="80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</row>
    <row r="217" spans="1:28" s="9" customFormat="1" ht="12.75">
      <c r="A217" s="11"/>
      <c r="B217" s="80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</row>
    <row r="218" spans="1:28" s="9" customFormat="1" ht="12.75">
      <c r="A218" s="11"/>
      <c r="B218" s="80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</row>
    <row r="219" spans="1:28" s="9" customFormat="1" ht="12.75">
      <c r="A219" s="11"/>
      <c r="B219" s="80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</row>
    <row r="220" spans="1:28" s="9" customFormat="1" ht="12.75">
      <c r="A220" s="11"/>
      <c r="B220" s="80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</row>
    <row r="221" spans="1:28" s="9" customFormat="1" ht="12.75">
      <c r="A221" s="11"/>
      <c r="B221" s="80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</row>
    <row r="222" spans="1:28" s="9" customFormat="1" ht="12.75">
      <c r="A222" s="11"/>
      <c r="B222" s="80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</row>
    <row r="223" spans="1:28" s="9" customFormat="1" ht="12.75">
      <c r="A223" s="11"/>
      <c r="B223" s="80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</row>
    <row r="224" spans="1:28" s="9" customFormat="1" ht="12.75">
      <c r="A224" s="11"/>
      <c r="B224" s="80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</row>
    <row r="225" spans="1:28" s="9" customFormat="1" ht="12.75">
      <c r="A225" s="11"/>
      <c r="B225" s="80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</row>
    <row r="226" spans="1:28" s="9" customFormat="1" ht="12.75">
      <c r="A226" s="11"/>
      <c r="B226" s="80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</row>
    <row r="227" spans="1:28" s="9" customFormat="1" ht="12.75">
      <c r="A227" s="11"/>
      <c r="B227" s="80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</row>
    <row r="228" spans="1:28" s="9" customFormat="1" ht="12.75">
      <c r="A228" s="11"/>
      <c r="B228" s="80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</row>
    <row r="229" spans="1:28" s="9" customFormat="1" ht="12.75">
      <c r="A229" s="11"/>
      <c r="B229" s="80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</row>
    <row r="230" spans="1:28" s="9" customFormat="1" ht="12.75">
      <c r="A230" s="11"/>
      <c r="B230" s="80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</row>
    <row r="231" spans="1:28" s="9" customFormat="1" ht="12.75">
      <c r="A231" s="11"/>
      <c r="B231" s="80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</row>
    <row r="232" spans="1:28" s="9" customFormat="1" ht="12.75">
      <c r="A232" s="11"/>
      <c r="B232" s="80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</row>
    <row r="233" spans="1:28" s="9" customFormat="1" ht="12.75">
      <c r="A233" s="11"/>
      <c r="B233" s="80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</row>
    <row r="234" spans="1:28" s="9" customFormat="1" ht="12.75">
      <c r="A234" s="11"/>
      <c r="B234" s="80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</row>
    <row r="235" spans="1:28" s="9" customFormat="1" ht="12.75">
      <c r="A235" s="11"/>
      <c r="B235" s="80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</row>
    <row r="236" spans="1:28" s="9" customFormat="1" ht="12.75">
      <c r="A236" s="11"/>
      <c r="B236" s="80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</row>
    <row r="237" spans="1:28" s="9" customFormat="1" ht="12.75">
      <c r="A237" s="11"/>
      <c r="B237" s="80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</row>
    <row r="238" spans="1:28" s="9" customFormat="1" ht="12.75">
      <c r="A238" s="11"/>
      <c r="B238" s="80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</row>
    <row r="239" spans="1:28" s="9" customFormat="1" ht="12.75">
      <c r="A239" s="11"/>
      <c r="B239" s="80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</row>
    <row r="240" spans="1:28" s="9" customFormat="1" ht="12.75">
      <c r="A240" s="11"/>
      <c r="B240" s="80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</row>
    <row r="241" spans="1:28" s="9" customFormat="1" ht="12.75">
      <c r="A241" s="11"/>
      <c r="B241" s="80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</row>
    <row r="242" spans="1:28" s="9" customFormat="1" ht="12.75">
      <c r="A242" s="11"/>
      <c r="B242" s="80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</row>
    <row r="243" spans="1:28" s="9" customFormat="1" ht="12.75">
      <c r="A243" s="11"/>
      <c r="B243" s="80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</row>
    <row r="244" spans="1:28" s="9" customFormat="1" ht="12.75">
      <c r="A244" s="11"/>
      <c r="B244" s="80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</row>
    <row r="245" spans="1:28" s="9" customFormat="1" ht="12.75">
      <c r="A245" s="11"/>
      <c r="B245" s="80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</row>
    <row r="246" spans="1:28" s="9" customFormat="1" ht="12.75">
      <c r="A246" s="11"/>
      <c r="B246" s="80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</row>
    <row r="247" spans="1:28" s="9" customFormat="1" ht="12.75">
      <c r="A247" s="11"/>
      <c r="B247" s="80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</row>
    <row r="248" spans="1:28" s="9" customFormat="1" ht="12.75">
      <c r="A248" s="11"/>
      <c r="B248" s="80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</row>
    <row r="249" spans="1:28" s="9" customFormat="1" ht="12.75">
      <c r="A249" s="11"/>
      <c r="B249" s="80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</row>
    <row r="250" spans="1:28" s="9" customFormat="1" ht="12.75">
      <c r="A250" s="11"/>
      <c r="B250" s="80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</row>
    <row r="251" spans="1:28" s="9" customFormat="1" ht="12.75">
      <c r="A251" s="11"/>
      <c r="B251" s="80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</row>
    <row r="252" spans="1:28" s="9" customFormat="1" ht="12.75">
      <c r="A252" s="11"/>
      <c r="B252" s="80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</row>
    <row r="253" spans="1:28" s="9" customFormat="1" ht="12.75">
      <c r="A253" s="11"/>
      <c r="B253" s="80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</row>
    <row r="254" spans="1:28" s="9" customFormat="1" ht="12.75">
      <c r="A254" s="11"/>
      <c r="B254" s="80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</row>
    <row r="255" spans="1:28" s="9" customFormat="1" ht="12.75">
      <c r="A255" s="11"/>
      <c r="B255" s="80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</row>
    <row r="256" spans="1:28" s="9" customFormat="1" ht="12.75">
      <c r="A256" s="11"/>
      <c r="B256" s="80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</row>
    <row r="257" spans="1:28" s="9" customFormat="1" ht="12.75">
      <c r="A257" s="11"/>
      <c r="B257" s="80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</row>
    <row r="258" spans="1:28" s="9" customFormat="1" ht="12.75">
      <c r="A258" s="11"/>
      <c r="B258" s="80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</row>
    <row r="259" spans="1:28" s="9" customFormat="1" ht="12.75">
      <c r="A259" s="11"/>
      <c r="B259" s="80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</row>
    <row r="260" spans="1:28" s="9" customFormat="1" ht="12.75">
      <c r="A260" s="11"/>
      <c r="B260" s="80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</row>
    <row r="261" spans="1:28" s="9" customFormat="1" ht="12.75">
      <c r="A261" s="11"/>
      <c r="B261" s="80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</row>
    <row r="262" spans="1:28" s="9" customFormat="1" ht="12.75">
      <c r="A262" s="11"/>
      <c r="B262" s="80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</row>
    <row r="263" spans="1:28" s="9" customFormat="1" ht="12.75">
      <c r="A263" s="11"/>
      <c r="B263" s="80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</row>
    <row r="264" spans="1:28" s="9" customFormat="1" ht="12.75">
      <c r="A264" s="11"/>
      <c r="B264" s="80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</row>
    <row r="265" spans="1:28" s="9" customFormat="1" ht="12.75">
      <c r="A265" s="11"/>
      <c r="B265" s="80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</row>
    <row r="266" spans="1:28" s="9" customFormat="1" ht="12.75">
      <c r="A266" s="11"/>
      <c r="B266" s="80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</row>
    <row r="267" spans="1:28" s="9" customFormat="1" ht="12.75">
      <c r="A267" s="11"/>
      <c r="B267" s="80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</row>
    <row r="268" spans="1:28" s="9" customFormat="1" ht="12.75">
      <c r="A268" s="11"/>
      <c r="B268" s="80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</row>
    <row r="269" spans="1:28" s="9" customFormat="1" ht="12.75">
      <c r="A269" s="11"/>
      <c r="B269" s="80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</row>
    <row r="270" spans="1:28" s="9" customFormat="1" ht="12.75">
      <c r="A270" s="11"/>
      <c r="B270" s="80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</row>
    <row r="271" spans="1:28" s="9" customFormat="1" ht="12.75">
      <c r="A271" s="11"/>
      <c r="B271" s="80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</row>
    <row r="272" spans="1:28" s="9" customFormat="1" ht="12.75">
      <c r="A272" s="11"/>
      <c r="B272" s="80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</row>
    <row r="273" spans="1:28" s="9" customFormat="1" ht="12.75">
      <c r="A273" s="11"/>
      <c r="B273" s="80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</row>
    <row r="274" spans="1:28" s="9" customFormat="1" ht="12.75">
      <c r="A274" s="11"/>
      <c r="B274" s="80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</row>
    <row r="275" spans="1:28" s="9" customFormat="1" ht="12.75">
      <c r="A275" s="11"/>
      <c r="B275" s="80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</row>
    <row r="276" spans="1:28" s="9" customFormat="1" ht="12.75">
      <c r="A276" s="11"/>
      <c r="B276" s="80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</row>
    <row r="277" spans="1:28" s="9" customFormat="1" ht="12.75">
      <c r="A277" s="11"/>
      <c r="B277" s="80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</row>
    <row r="278" spans="1:28" s="9" customFormat="1" ht="12.75">
      <c r="A278" s="11"/>
      <c r="B278" s="80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</row>
    <row r="279" spans="1:28" s="9" customFormat="1" ht="12.75">
      <c r="A279" s="11"/>
      <c r="B279" s="80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</row>
    <row r="280" spans="1:28" s="9" customFormat="1" ht="12.75">
      <c r="A280" s="11"/>
      <c r="B280" s="80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</row>
    <row r="281" spans="1:28" s="9" customFormat="1" ht="12.75">
      <c r="A281" s="11"/>
      <c r="B281" s="80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</row>
    <row r="282" spans="1:28" s="9" customFormat="1" ht="12.75">
      <c r="A282" s="11"/>
      <c r="B282" s="80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</row>
    <row r="283" spans="1:28" s="9" customFormat="1" ht="12.75">
      <c r="A283" s="11"/>
      <c r="B283" s="80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</row>
    <row r="284" spans="1:28" s="9" customFormat="1" ht="12.75">
      <c r="A284" s="11"/>
      <c r="B284" s="80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</row>
    <row r="285" spans="1:28" s="9" customFormat="1" ht="12.75">
      <c r="A285" s="11"/>
      <c r="B285" s="80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</row>
    <row r="286" spans="1:28" s="9" customFormat="1" ht="12.75">
      <c r="A286" s="11"/>
      <c r="B286" s="80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</row>
    <row r="287" spans="1:28" s="9" customFormat="1" ht="12.75">
      <c r="A287" s="11"/>
      <c r="B287" s="80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</row>
    <row r="288" spans="1:28" s="9" customFormat="1" ht="12.75">
      <c r="A288" s="11"/>
      <c r="B288" s="80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</row>
    <row r="289" spans="1:28" s="9" customFormat="1" ht="12.75">
      <c r="A289" s="11"/>
      <c r="B289" s="80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</row>
    <row r="290" spans="1:28" s="9" customFormat="1" ht="12.75">
      <c r="A290" s="11"/>
      <c r="B290" s="80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</row>
    <row r="291" spans="1:28" s="9" customFormat="1" ht="12.75">
      <c r="A291" s="11"/>
      <c r="B291" s="80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</row>
    <row r="292" spans="1:28" s="9" customFormat="1" ht="12.75">
      <c r="A292" s="11"/>
      <c r="B292" s="80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</row>
    <row r="293" spans="1:28" s="9" customFormat="1" ht="12.75">
      <c r="A293" s="11"/>
      <c r="B293" s="80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</row>
    <row r="294" spans="1:28" s="9" customFormat="1" ht="12.75">
      <c r="A294" s="11"/>
      <c r="B294" s="80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</row>
    <row r="295" spans="1:28" s="9" customFormat="1" ht="12.75">
      <c r="A295" s="11"/>
      <c r="B295" s="80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</row>
    <row r="296" spans="1:28" s="9" customFormat="1" ht="12.75">
      <c r="A296" s="11"/>
      <c r="B296" s="80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</row>
    <row r="297" spans="1:28" s="9" customFormat="1" ht="12.75">
      <c r="A297" s="11"/>
      <c r="B297" s="80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</row>
    <row r="298" spans="1:28" s="9" customFormat="1" ht="12.75">
      <c r="A298" s="11"/>
      <c r="B298" s="80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</row>
    <row r="299" spans="1:28" s="9" customFormat="1" ht="12.75">
      <c r="A299" s="11"/>
      <c r="B299" s="80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</row>
    <row r="300" spans="1:28" s="9" customFormat="1" ht="12.75">
      <c r="A300" s="11"/>
      <c r="B300" s="80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</row>
    <row r="301" spans="1:28" s="9" customFormat="1" ht="12.75">
      <c r="A301" s="11"/>
      <c r="B301" s="80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</row>
    <row r="302" spans="1:28" s="9" customFormat="1" ht="12.75">
      <c r="A302" s="11"/>
      <c r="B302" s="80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</row>
    <row r="303" spans="1:28" s="9" customFormat="1" ht="12.75">
      <c r="A303" s="11"/>
      <c r="B303" s="80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</row>
    <row r="304" spans="1:28" s="9" customFormat="1" ht="12.75">
      <c r="A304" s="11"/>
      <c r="B304" s="80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</row>
    <row r="305" spans="1:28" s="9" customFormat="1" ht="12.75">
      <c r="A305" s="11"/>
      <c r="B305" s="80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</row>
    <row r="306" spans="1:28" s="9" customFormat="1" ht="12.75">
      <c r="A306" s="11"/>
      <c r="B306" s="80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</row>
    <row r="307" spans="1:28" s="9" customFormat="1" ht="12.75">
      <c r="A307" s="11"/>
      <c r="B307" s="80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</row>
    <row r="308" spans="1:28" s="9" customFormat="1" ht="12.75">
      <c r="A308" s="11"/>
      <c r="B308" s="80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</row>
    <row r="309" spans="1:28" s="9" customFormat="1" ht="12.75">
      <c r="A309" s="11"/>
      <c r="B309" s="80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</row>
    <row r="310" spans="1:28" s="9" customFormat="1" ht="12.75">
      <c r="A310" s="11"/>
      <c r="B310" s="80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</row>
    <row r="311" spans="1:28" s="9" customFormat="1" ht="12.75">
      <c r="A311" s="11"/>
      <c r="B311" s="80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</row>
    <row r="312" spans="1:28" s="9" customFormat="1" ht="12.75">
      <c r="A312" s="11"/>
      <c r="B312" s="80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</row>
    <row r="313" spans="1:28" s="9" customFormat="1" ht="12.75">
      <c r="A313" s="11"/>
      <c r="B313" s="80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</row>
    <row r="314" spans="1:28" s="9" customFormat="1" ht="12.75">
      <c r="A314" s="11"/>
      <c r="B314" s="80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</row>
    <row r="315" spans="1:28" s="9" customFormat="1" ht="12.75">
      <c r="A315" s="11"/>
      <c r="B315" s="80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</row>
    <row r="316" spans="1:28" s="9" customFormat="1" ht="12.75">
      <c r="A316" s="11"/>
      <c r="B316" s="80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</row>
    <row r="317" spans="1:28" s="9" customFormat="1" ht="12.75">
      <c r="A317" s="11"/>
      <c r="B317" s="80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</row>
    <row r="318" spans="1:28" s="9" customFormat="1" ht="12.75">
      <c r="A318" s="11"/>
      <c r="B318" s="80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</row>
    <row r="319" spans="1:28" s="9" customFormat="1" ht="12.75">
      <c r="A319" s="11"/>
      <c r="B319" s="80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</row>
    <row r="320" spans="1:28" s="9" customFormat="1" ht="12.75">
      <c r="A320" s="11"/>
      <c r="B320" s="80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</row>
    <row r="321" spans="1:28" s="9" customFormat="1" ht="12.75">
      <c r="A321" s="11"/>
      <c r="B321" s="80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</row>
    <row r="322" spans="1:28" s="9" customFormat="1" ht="12.75">
      <c r="A322" s="11"/>
      <c r="B322" s="80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</row>
    <row r="323" spans="1:28" s="9" customFormat="1" ht="12.75">
      <c r="A323" s="11"/>
      <c r="B323" s="80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</row>
    <row r="324" spans="1:28" s="9" customFormat="1" ht="12.75">
      <c r="A324" s="11"/>
      <c r="B324" s="80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</row>
    <row r="325" spans="1:28" s="9" customFormat="1" ht="12.75">
      <c r="A325" s="11"/>
      <c r="B325" s="80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</row>
    <row r="326" spans="1:28" s="9" customFormat="1" ht="12.75">
      <c r="A326" s="11"/>
      <c r="B326" s="80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</row>
    <row r="327" spans="1:28" s="9" customFormat="1" ht="12.75">
      <c r="A327" s="11"/>
      <c r="B327" s="80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</row>
    <row r="328" spans="1:28" s="9" customFormat="1" ht="12.75">
      <c r="A328" s="11"/>
      <c r="B328" s="80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</row>
    <row r="329" spans="1:28" s="9" customFormat="1" ht="12.75">
      <c r="A329" s="11"/>
      <c r="B329" s="80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</row>
    <row r="330" spans="1:28" s="9" customFormat="1" ht="12.75">
      <c r="A330" s="11"/>
      <c r="B330" s="80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</row>
    <row r="331" spans="1:28" s="9" customFormat="1" ht="12.75">
      <c r="A331" s="11"/>
      <c r="B331" s="80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</row>
    <row r="332" spans="1:28" s="9" customFormat="1" ht="12.75">
      <c r="A332" s="11"/>
      <c r="B332" s="80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</row>
    <row r="333" spans="1:28" s="9" customFormat="1" ht="12.75">
      <c r="A333" s="11"/>
      <c r="B333" s="80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</row>
    <row r="334" spans="1:28" s="9" customFormat="1" ht="12.75">
      <c r="A334" s="11"/>
      <c r="B334" s="80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</row>
    <row r="335" spans="1:28" s="9" customFormat="1" ht="12.75">
      <c r="A335" s="11"/>
      <c r="B335" s="80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</row>
    <row r="336" spans="1:28" s="9" customFormat="1" ht="12.75">
      <c r="A336" s="11"/>
      <c r="B336" s="80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</row>
    <row r="337" spans="1:28" s="9" customFormat="1" ht="12.75">
      <c r="A337" s="11"/>
      <c r="B337" s="80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</row>
    <row r="338" spans="1:28" s="9" customFormat="1" ht="12.75">
      <c r="A338" s="11"/>
      <c r="B338" s="80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</row>
    <row r="339" spans="1:28" s="9" customFormat="1" ht="12.75">
      <c r="A339" s="11"/>
      <c r="B339" s="80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</row>
    <row r="340" spans="1:28" s="9" customFormat="1" ht="12.75">
      <c r="A340" s="11"/>
      <c r="B340" s="80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</row>
    <row r="341" spans="1:28" s="9" customFormat="1" ht="12.75">
      <c r="A341" s="11"/>
      <c r="B341" s="80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</row>
    <row r="342" spans="1:28" s="9" customFormat="1" ht="12.75">
      <c r="A342" s="11"/>
      <c r="B342" s="80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</row>
    <row r="343" spans="1:28" s="9" customFormat="1" ht="12.75">
      <c r="A343" s="11"/>
      <c r="B343" s="80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</row>
    <row r="344" spans="1:28" s="9" customFormat="1" ht="12.75">
      <c r="A344" s="11"/>
      <c r="B344" s="80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</row>
    <row r="345" spans="1:28" s="9" customFormat="1" ht="12.75">
      <c r="A345" s="11"/>
      <c r="B345" s="80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</row>
    <row r="346" spans="1:28" s="9" customFormat="1" ht="12.75">
      <c r="A346" s="11"/>
      <c r="B346" s="80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</row>
    <row r="347" spans="1:28" s="9" customFormat="1" ht="12.75">
      <c r="A347" s="11"/>
      <c r="B347" s="80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</row>
    <row r="348" spans="1:28" s="9" customFormat="1" ht="12.75">
      <c r="A348" s="11"/>
      <c r="B348" s="80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</row>
    <row r="349" spans="1:28" s="9" customFormat="1" ht="12.75">
      <c r="A349" s="11"/>
      <c r="B349" s="80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</row>
    <row r="350" spans="1:28" s="9" customFormat="1" ht="12.75">
      <c r="A350" s="11"/>
      <c r="B350" s="80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</row>
    <row r="351" spans="1:28" s="9" customFormat="1" ht="12.75">
      <c r="A351" s="11"/>
      <c r="B351" s="80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</row>
    <row r="352" spans="1:28" s="9" customFormat="1" ht="12.75">
      <c r="A352" s="11"/>
      <c r="B352" s="80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</row>
    <row r="353" spans="1:28" s="9" customFormat="1" ht="12.75">
      <c r="A353" s="11"/>
      <c r="B353" s="80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</row>
    <row r="354" spans="1:28" s="9" customFormat="1" ht="12.75">
      <c r="A354" s="11"/>
      <c r="B354" s="80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</row>
    <row r="355" spans="1:28" s="9" customFormat="1" ht="12.75">
      <c r="A355" s="11"/>
      <c r="B355" s="80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</row>
    <row r="356" spans="1:28" s="9" customFormat="1" ht="12.75">
      <c r="A356" s="11"/>
      <c r="B356" s="80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</row>
    <row r="357" spans="1:28" s="9" customFormat="1" ht="12.75">
      <c r="A357" s="11"/>
      <c r="B357" s="80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</row>
    <row r="358" spans="1:28" s="9" customFormat="1" ht="12.75">
      <c r="A358" s="11"/>
      <c r="B358" s="80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</row>
    <row r="359" spans="1:28" s="9" customFormat="1" ht="12.75">
      <c r="A359" s="11"/>
      <c r="B359" s="80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</row>
    <row r="360" spans="1:28" s="9" customFormat="1" ht="12.75">
      <c r="A360" s="11"/>
      <c r="B360" s="80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</row>
    <row r="361" spans="1:28" s="9" customFormat="1" ht="12.75">
      <c r="A361" s="11"/>
      <c r="B361" s="80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</row>
    <row r="362" spans="1:28" s="9" customFormat="1" ht="12.75">
      <c r="A362" s="11"/>
      <c r="B362" s="80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</row>
    <row r="363" spans="1:28" s="9" customFormat="1" ht="12.75">
      <c r="A363" s="11"/>
      <c r="B363" s="80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</row>
    <row r="364" spans="1:28" s="9" customFormat="1" ht="12.75">
      <c r="A364" s="11"/>
      <c r="B364" s="80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</row>
    <row r="365" spans="1:28" s="9" customFormat="1" ht="12.75">
      <c r="A365" s="11"/>
      <c r="B365" s="80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</row>
    <row r="366" spans="1:28" s="9" customFormat="1" ht="12.75">
      <c r="A366" s="11"/>
      <c r="B366" s="80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</row>
    <row r="367" spans="1:28" s="9" customFormat="1" ht="12.75">
      <c r="A367" s="11"/>
      <c r="B367" s="80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</row>
    <row r="368" spans="1:28" s="9" customFormat="1" ht="12.75">
      <c r="A368" s="11"/>
      <c r="B368" s="80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</row>
    <row r="369" spans="1:28" s="9" customFormat="1" ht="12.75">
      <c r="A369" s="11"/>
      <c r="B369" s="80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</row>
    <row r="370" spans="1:28" s="9" customFormat="1" ht="12.75">
      <c r="A370" s="11"/>
      <c r="B370" s="80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</row>
    <row r="371" spans="1:28" s="9" customFormat="1" ht="12.75">
      <c r="A371" s="11"/>
      <c r="B371" s="80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</row>
    <row r="372" spans="1:28" s="9" customFormat="1" ht="12.75">
      <c r="A372" s="11"/>
      <c r="B372" s="80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</row>
    <row r="373" spans="1:28" s="9" customFormat="1" ht="12.75">
      <c r="A373" s="11"/>
      <c r="B373" s="80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</row>
    <row r="374" spans="1:28" s="9" customFormat="1" ht="12.75">
      <c r="A374" s="11"/>
      <c r="B374" s="80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</row>
    <row r="375" spans="1:28" s="9" customFormat="1" ht="12.75">
      <c r="A375" s="11"/>
      <c r="B375" s="80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</row>
    <row r="376" spans="1:28" s="9" customFormat="1" ht="12.75">
      <c r="A376" s="11"/>
      <c r="B376" s="80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</row>
    <row r="377" spans="1:28" s="9" customFormat="1" ht="12.75">
      <c r="A377" s="11"/>
      <c r="B377" s="80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</row>
    <row r="378" spans="1:28" s="9" customFormat="1" ht="12.75">
      <c r="A378" s="11"/>
      <c r="B378" s="80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</row>
    <row r="379" spans="1:28" s="9" customFormat="1" ht="12.75">
      <c r="A379" s="11"/>
      <c r="B379" s="80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</row>
    <row r="380" spans="1:28" s="9" customFormat="1" ht="12.75">
      <c r="A380" s="11"/>
      <c r="B380" s="80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</row>
    <row r="381" spans="1:28" s="9" customFormat="1" ht="12.75">
      <c r="A381" s="11"/>
      <c r="B381" s="80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</row>
    <row r="382" spans="1:28" s="9" customFormat="1" ht="12.75">
      <c r="A382" s="11"/>
      <c r="B382" s="80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</row>
    <row r="383" spans="1:28" s="9" customFormat="1" ht="12.75">
      <c r="A383" s="11"/>
      <c r="B383" s="80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</row>
    <row r="384" spans="1:28" s="9" customFormat="1" ht="12.75">
      <c r="A384" s="11"/>
      <c r="B384" s="80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</row>
    <row r="385" spans="1:28" s="9" customFormat="1" ht="12.75">
      <c r="A385" s="11"/>
      <c r="B385" s="80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</row>
    <row r="386" spans="1:28" s="9" customFormat="1" ht="12.75">
      <c r="A386" s="11"/>
      <c r="B386" s="80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</row>
    <row r="387" spans="1:28" s="9" customFormat="1" ht="12.75">
      <c r="A387" s="11"/>
      <c r="B387" s="80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</row>
    <row r="388" spans="1:28" s="9" customFormat="1" ht="12.75">
      <c r="A388" s="11"/>
      <c r="B388" s="80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</row>
    <row r="389" spans="1:28" s="9" customFormat="1" ht="12.75">
      <c r="A389" s="11"/>
      <c r="B389" s="80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</row>
    <row r="390" spans="1:28" s="9" customFormat="1" ht="12.75">
      <c r="A390" s="11"/>
      <c r="B390" s="80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</row>
    <row r="391" spans="1:28" s="9" customFormat="1" ht="12.75">
      <c r="A391" s="11"/>
      <c r="B391" s="80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1:28" s="9" customFormat="1" ht="12.75">
      <c r="A392" s="11"/>
      <c r="B392" s="80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1:28" s="9" customFormat="1" ht="12.75">
      <c r="A393" s="11"/>
      <c r="B393" s="80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1:28" s="9" customFormat="1" ht="12.75">
      <c r="A394" s="11"/>
      <c r="B394" s="80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28" s="9" customFormat="1" ht="12.75">
      <c r="A395" s="11"/>
      <c r="B395" s="80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28" s="9" customFormat="1" ht="12.75">
      <c r="A396" s="11"/>
      <c r="B396" s="80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28" s="9" customFormat="1" ht="12.75">
      <c r="A397" s="11"/>
      <c r="B397" s="80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28" s="9" customFormat="1" ht="12.75">
      <c r="A398" s="11"/>
      <c r="B398" s="80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28" s="9" customFormat="1" ht="12.75">
      <c r="A399" s="11"/>
      <c r="B399" s="80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28" s="9" customFormat="1" ht="12.75">
      <c r="A400" s="11"/>
      <c r="B400" s="80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1:28" s="9" customFormat="1" ht="12.75">
      <c r="A401" s="11"/>
      <c r="B401" s="80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1:28" s="9" customFormat="1" ht="12.75">
      <c r="A402" s="11"/>
      <c r="B402" s="80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1:28" s="9" customFormat="1" ht="12.75">
      <c r="A403" s="11"/>
      <c r="B403" s="80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1:28" s="9" customFormat="1" ht="12.75">
      <c r="A404" s="11"/>
      <c r="B404" s="80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1:28" s="9" customFormat="1" ht="12.75">
      <c r="A405" s="11"/>
      <c r="B405" s="80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1:28" s="9" customFormat="1" ht="12.75">
      <c r="A406" s="11"/>
      <c r="B406" s="80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1:28" s="9" customFormat="1" ht="12.75">
      <c r="A407" s="11"/>
      <c r="B407" s="80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1:28" s="9" customFormat="1" ht="12.75">
      <c r="A408" s="11"/>
      <c r="B408" s="80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1:28" s="9" customFormat="1" ht="12.75">
      <c r="A409" s="11"/>
      <c r="B409" s="80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1:28" s="9" customFormat="1" ht="12.75">
      <c r="A410" s="11"/>
      <c r="B410" s="80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1:28" s="9" customFormat="1" ht="12.75">
      <c r="A411" s="11"/>
      <c r="B411" s="80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1:28" s="9" customFormat="1" ht="12.75">
      <c r="A412" s="11"/>
      <c r="B412" s="80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1:28" s="9" customFormat="1" ht="12.75">
      <c r="A413" s="11"/>
      <c r="B413" s="80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1:28" s="9" customFormat="1" ht="12.75">
      <c r="A414" s="11"/>
      <c r="B414" s="80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1:28" s="9" customFormat="1" ht="12.75">
      <c r="A415" s="11"/>
      <c r="B415" s="80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1:28" s="9" customFormat="1" ht="12.75">
      <c r="A416" s="11"/>
      <c r="B416" s="80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1:28" s="9" customFormat="1" ht="12.75">
      <c r="A417" s="11"/>
      <c r="B417" s="80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1:28" s="9" customFormat="1" ht="12.75">
      <c r="A418" s="11"/>
      <c r="B418" s="80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1:28" s="9" customFormat="1" ht="12.75">
      <c r="A419" s="11"/>
      <c r="B419" s="80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1:28" s="9" customFormat="1" ht="12.75">
      <c r="A420" s="11"/>
      <c r="B420" s="80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1:28" s="9" customFormat="1" ht="12.75">
      <c r="A421" s="11"/>
      <c r="B421" s="80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1:28" s="9" customFormat="1" ht="12.75">
      <c r="A422" s="11"/>
      <c r="B422" s="80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1:28" s="9" customFormat="1" ht="12.75">
      <c r="A423" s="11"/>
      <c r="B423" s="80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1:28" s="9" customFormat="1" ht="12.75">
      <c r="A424" s="11"/>
      <c r="B424" s="80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1:28" s="9" customFormat="1" ht="12.75">
      <c r="A425" s="11"/>
      <c r="B425" s="80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1:28" s="9" customFormat="1" ht="12.75">
      <c r="A426" s="11"/>
      <c r="B426" s="80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1:28" s="9" customFormat="1" ht="12.75">
      <c r="A427" s="11"/>
      <c r="B427" s="80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1:28" s="9" customFormat="1" ht="12.75">
      <c r="A428" s="11"/>
      <c r="B428" s="80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1:28" s="9" customFormat="1" ht="12.75">
      <c r="A429" s="11"/>
      <c r="B429" s="80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1:28" s="9" customFormat="1" ht="12.75">
      <c r="A430" s="11"/>
      <c r="B430" s="80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1:28" s="9" customFormat="1" ht="12.75">
      <c r="A431" s="11"/>
      <c r="B431" s="80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1:28" s="9" customFormat="1" ht="12.75">
      <c r="A432" s="11"/>
      <c r="B432" s="80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1:28" s="9" customFormat="1" ht="12.75">
      <c r="A433" s="11"/>
      <c r="B433" s="80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1:28" s="9" customFormat="1" ht="12.75">
      <c r="A434" s="11"/>
      <c r="B434" s="80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1:28" s="9" customFormat="1" ht="12.75">
      <c r="A435" s="11"/>
      <c r="B435" s="80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1:28" s="9" customFormat="1" ht="12.75">
      <c r="A436" s="11"/>
      <c r="B436" s="80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1:28" s="9" customFormat="1" ht="12.75">
      <c r="A437" s="11"/>
      <c r="B437" s="80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1:28" s="9" customFormat="1" ht="12.75">
      <c r="A438" s="11"/>
      <c r="B438" s="80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1:28" s="9" customFormat="1" ht="12.75">
      <c r="A439" s="11"/>
      <c r="B439" s="80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1:28" s="9" customFormat="1" ht="12.75">
      <c r="A440" s="11"/>
      <c r="B440" s="80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1:28" s="9" customFormat="1" ht="12.75">
      <c r="A441" s="11"/>
      <c r="B441" s="80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1:28" s="9" customFormat="1" ht="12.75">
      <c r="A442" s="11"/>
      <c r="B442" s="80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1:28" s="9" customFormat="1" ht="12.75">
      <c r="A443" s="11"/>
      <c r="B443" s="80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1:28" s="9" customFormat="1" ht="12.75">
      <c r="A444" s="11"/>
      <c r="B444" s="80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1:28" s="9" customFormat="1" ht="12.75">
      <c r="A445" s="11"/>
      <c r="B445" s="80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1:28" s="9" customFormat="1" ht="12.75">
      <c r="A446" s="11"/>
      <c r="B446" s="80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1:28" s="9" customFormat="1" ht="12.75">
      <c r="A447" s="11"/>
      <c r="B447" s="80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1:28" s="9" customFormat="1" ht="12.75">
      <c r="A448" s="11"/>
      <c r="B448" s="80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1:28" s="9" customFormat="1" ht="12.75">
      <c r="A449" s="11"/>
      <c r="B449" s="80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1:28" s="9" customFormat="1" ht="12.75">
      <c r="A450" s="11"/>
      <c r="B450" s="80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1:28" s="9" customFormat="1" ht="12.75">
      <c r="A451" s="11"/>
      <c r="B451" s="80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1:28" s="9" customFormat="1" ht="12.75">
      <c r="A452" s="11"/>
      <c r="B452" s="80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1:28" s="9" customFormat="1" ht="12.75">
      <c r="A453" s="11"/>
      <c r="B453" s="80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1:28" s="9" customFormat="1" ht="12.75">
      <c r="A454" s="11"/>
      <c r="B454" s="80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1:28" s="9" customFormat="1" ht="12.75">
      <c r="A455" s="11"/>
      <c r="B455" s="80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1:28" s="9" customFormat="1" ht="12.75">
      <c r="A456" s="11"/>
      <c r="B456" s="80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</row>
  </sheetData>
  <mergeCells count="3">
    <mergeCell ref="B5:E5"/>
    <mergeCell ref="C17:F17"/>
    <mergeCell ref="A19:A27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1" customWidth="1"/>
    <col min="2" max="2" width="10.57421875" style="1" customWidth="1"/>
    <col min="3" max="3" width="12.140625" style="1" customWidth="1"/>
    <col min="4" max="4" width="11.421875" style="1" customWidth="1"/>
    <col min="5" max="8" width="10.57421875" style="1" customWidth="1"/>
    <col min="9" max="9" width="10.8515625" style="1" customWidth="1"/>
    <col min="10" max="10" width="9.28125" style="1" customWidth="1"/>
    <col min="11" max="11" width="9.57421875" style="1" customWidth="1"/>
    <col min="12" max="12" width="11.00390625" style="1" customWidth="1"/>
    <col min="13" max="13" width="11.28125" style="1" customWidth="1"/>
    <col min="14" max="16384" width="9.140625" style="1" customWidth="1"/>
  </cols>
  <sheetData>
    <row r="1" ht="18.75">
      <c r="A1" s="6" t="s">
        <v>136</v>
      </c>
    </row>
    <row r="2" ht="12.75">
      <c r="A2" s="5" t="s">
        <v>137</v>
      </c>
    </row>
    <row r="3" ht="9.75" customHeight="1" thickBot="1">
      <c r="A3" s="13"/>
    </row>
    <row r="4" spans="2:13" ht="13.5" thickBot="1">
      <c r="B4" s="193">
        <v>2006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94"/>
    </row>
    <row r="5" spans="2:13" ht="42.75" thickBot="1">
      <c r="B5" s="139" t="s">
        <v>117</v>
      </c>
      <c r="C5" s="140" t="s">
        <v>118</v>
      </c>
      <c r="D5" s="140" t="s">
        <v>218</v>
      </c>
      <c r="E5" s="140" t="s">
        <v>119</v>
      </c>
      <c r="F5" s="141" t="s">
        <v>138</v>
      </c>
      <c r="G5" s="141" t="s">
        <v>139</v>
      </c>
      <c r="H5" s="141" t="s">
        <v>140</v>
      </c>
      <c r="I5" s="141" t="s">
        <v>141</v>
      </c>
      <c r="J5" s="141" t="s">
        <v>142</v>
      </c>
      <c r="K5" s="141" t="s">
        <v>143</v>
      </c>
      <c r="L5" s="141" t="s">
        <v>144</v>
      </c>
      <c r="M5" s="142" t="s">
        <v>145</v>
      </c>
    </row>
    <row r="6" spans="1:13" ht="12.75">
      <c r="A6" s="164" t="s">
        <v>112</v>
      </c>
      <c r="B6" s="71">
        <v>59</v>
      </c>
      <c r="C6" s="61">
        <v>40</v>
      </c>
      <c r="D6" s="61">
        <v>140.3</v>
      </c>
      <c r="E6" s="61">
        <v>7971</v>
      </c>
      <c r="F6" s="61">
        <v>0</v>
      </c>
      <c r="G6" s="61">
        <v>923</v>
      </c>
      <c r="H6" s="61">
        <v>0</v>
      </c>
      <c r="I6" s="61">
        <v>0</v>
      </c>
      <c r="J6" s="61">
        <v>190</v>
      </c>
      <c r="K6" s="61">
        <v>2071</v>
      </c>
      <c r="L6" s="61">
        <v>0</v>
      </c>
      <c r="M6" s="119">
        <v>223508</v>
      </c>
    </row>
    <row r="7" spans="1:13" ht="12.75">
      <c r="A7" s="163" t="s">
        <v>107</v>
      </c>
      <c r="B7" s="70">
        <v>68</v>
      </c>
      <c r="C7" s="69">
        <v>42</v>
      </c>
      <c r="D7" s="69">
        <v>267.2</v>
      </c>
      <c r="E7" s="69">
        <v>5420</v>
      </c>
      <c r="F7" s="69">
        <v>0</v>
      </c>
      <c r="G7" s="69">
        <v>891.6</v>
      </c>
      <c r="H7" s="69">
        <v>0</v>
      </c>
      <c r="I7" s="69">
        <v>0</v>
      </c>
      <c r="J7" s="69">
        <v>519</v>
      </c>
      <c r="K7" s="69">
        <v>2575</v>
      </c>
      <c r="L7" s="69">
        <v>0</v>
      </c>
      <c r="M7" s="120">
        <v>267471</v>
      </c>
    </row>
    <row r="8" spans="1:13" ht="12.75">
      <c r="A8" s="163" t="s">
        <v>120</v>
      </c>
      <c r="B8" s="70">
        <v>99</v>
      </c>
      <c r="C8" s="69">
        <v>54</v>
      </c>
      <c r="D8" s="69">
        <v>492.6</v>
      </c>
      <c r="E8" s="69">
        <v>7454</v>
      </c>
      <c r="F8" s="69">
        <v>0</v>
      </c>
      <c r="G8" s="69">
        <v>848</v>
      </c>
      <c r="H8" s="69">
        <v>3700</v>
      </c>
      <c r="I8" s="69">
        <v>0</v>
      </c>
      <c r="J8" s="69">
        <v>7367</v>
      </c>
      <c r="K8" s="69">
        <v>5305</v>
      </c>
      <c r="L8" s="69">
        <v>2</v>
      </c>
      <c r="M8" s="120">
        <v>414565</v>
      </c>
    </row>
    <row r="9" spans="1:13" ht="12.75">
      <c r="A9" s="163" t="s">
        <v>121</v>
      </c>
      <c r="B9" s="70">
        <v>64</v>
      </c>
      <c r="C9" s="69">
        <v>30</v>
      </c>
      <c r="D9" s="69">
        <v>418.5</v>
      </c>
      <c r="E9" s="69">
        <v>2440</v>
      </c>
      <c r="F9" s="69">
        <v>0</v>
      </c>
      <c r="G9" s="69">
        <v>929</v>
      </c>
      <c r="H9" s="69">
        <v>1600</v>
      </c>
      <c r="I9" s="69">
        <v>58980</v>
      </c>
      <c r="J9" s="69">
        <v>2400</v>
      </c>
      <c r="K9" s="69">
        <v>3329</v>
      </c>
      <c r="L9" s="69">
        <v>0</v>
      </c>
      <c r="M9" s="120">
        <v>370292</v>
      </c>
    </row>
    <row r="10" spans="1:13" ht="12.75">
      <c r="A10" s="163" t="s">
        <v>122</v>
      </c>
      <c r="B10" s="70">
        <v>85</v>
      </c>
      <c r="C10" s="69">
        <v>42</v>
      </c>
      <c r="D10" s="69">
        <v>133.6</v>
      </c>
      <c r="E10" s="69">
        <v>17079</v>
      </c>
      <c r="F10" s="69">
        <v>0</v>
      </c>
      <c r="G10" s="69">
        <v>4110.2</v>
      </c>
      <c r="H10" s="69">
        <v>0</v>
      </c>
      <c r="I10" s="69">
        <v>0</v>
      </c>
      <c r="J10" s="69">
        <v>0</v>
      </c>
      <c r="K10" s="69">
        <v>2605</v>
      </c>
      <c r="L10" s="69">
        <v>0</v>
      </c>
      <c r="M10" s="120">
        <v>433734</v>
      </c>
    </row>
    <row r="11" spans="1:13" ht="12.75">
      <c r="A11" s="163" t="s">
        <v>123</v>
      </c>
      <c r="B11" s="70">
        <v>66</v>
      </c>
      <c r="C11" s="69">
        <v>32</v>
      </c>
      <c r="D11" s="69">
        <v>114.3</v>
      </c>
      <c r="E11" s="69">
        <v>8820</v>
      </c>
      <c r="F11" s="69">
        <v>600</v>
      </c>
      <c r="G11" s="69">
        <v>1565.5</v>
      </c>
      <c r="H11" s="69">
        <v>150</v>
      </c>
      <c r="I11" s="69">
        <v>6675</v>
      </c>
      <c r="J11" s="69">
        <v>2587</v>
      </c>
      <c r="K11" s="69">
        <v>1285</v>
      </c>
      <c r="L11" s="69">
        <v>0</v>
      </c>
      <c r="M11" s="120">
        <v>246719</v>
      </c>
    </row>
    <row r="12" spans="1:13" ht="12.75">
      <c r="A12" s="163" t="s">
        <v>124</v>
      </c>
      <c r="B12" s="70">
        <v>42</v>
      </c>
      <c r="C12" s="69">
        <v>26</v>
      </c>
      <c r="D12" s="69">
        <v>10.5</v>
      </c>
      <c r="E12" s="69">
        <v>7058.3</v>
      </c>
      <c r="F12" s="69">
        <v>0</v>
      </c>
      <c r="G12" s="69">
        <v>1598.4</v>
      </c>
      <c r="H12" s="69">
        <v>0</v>
      </c>
      <c r="I12" s="69">
        <v>13937</v>
      </c>
      <c r="J12" s="69">
        <v>190</v>
      </c>
      <c r="K12" s="69">
        <v>0</v>
      </c>
      <c r="L12" s="69">
        <v>0</v>
      </c>
      <c r="M12" s="120">
        <v>166866</v>
      </c>
    </row>
    <row r="13" spans="1:13" ht="13.5" thickBot="1">
      <c r="A13" s="173" t="s">
        <v>125</v>
      </c>
      <c r="B13" s="122">
        <v>41</v>
      </c>
      <c r="C13" s="62">
        <v>23</v>
      </c>
      <c r="D13" s="62">
        <v>44.3</v>
      </c>
      <c r="E13" s="62">
        <v>9369.3</v>
      </c>
      <c r="F13" s="62">
        <v>0</v>
      </c>
      <c r="G13" s="62">
        <v>1983.2</v>
      </c>
      <c r="H13" s="62">
        <v>0</v>
      </c>
      <c r="I13" s="62">
        <v>0</v>
      </c>
      <c r="J13" s="62">
        <v>166</v>
      </c>
      <c r="K13" s="62">
        <v>1491</v>
      </c>
      <c r="L13" s="62">
        <v>0</v>
      </c>
      <c r="M13" s="121">
        <v>203646</v>
      </c>
    </row>
    <row r="14" spans="1:13" ht="13.5" thickBot="1">
      <c r="A14" s="81" t="s">
        <v>75</v>
      </c>
      <c r="B14" s="118">
        <f>SUM(B6:B13)</f>
        <v>524</v>
      </c>
      <c r="C14" s="116">
        <f aca="true" t="shared" si="0" ref="C14:M14">SUM(C6:C13)</f>
        <v>289</v>
      </c>
      <c r="D14" s="116">
        <f t="shared" si="0"/>
        <v>1621.2999999999997</v>
      </c>
      <c r="E14" s="116">
        <f>SUM(E6:E13)</f>
        <v>65611.6</v>
      </c>
      <c r="F14" s="116">
        <f t="shared" si="0"/>
        <v>600</v>
      </c>
      <c r="G14" s="116">
        <f t="shared" si="0"/>
        <v>12848.9</v>
      </c>
      <c r="H14" s="116">
        <f t="shared" si="0"/>
        <v>5450</v>
      </c>
      <c r="I14" s="116">
        <f t="shared" si="0"/>
        <v>79592</v>
      </c>
      <c r="J14" s="116">
        <f t="shared" si="0"/>
        <v>13419</v>
      </c>
      <c r="K14" s="116">
        <f t="shared" si="0"/>
        <v>18661</v>
      </c>
      <c r="L14" s="116">
        <f t="shared" si="0"/>
        <v>2</v>
      </c>
      <c r="M14" s="117">
        <f t="shared" si="0"/>
        <v>2326801</v>
      </c>
    </row>
    <row r="15" ht="12.75">
      <c r="A15" s="11" t="s">
        <v>113</v>
      </c>
    </row>
    <row r="17" ht="18.75">
      <c r="A17" s="6" t="s">
        <v>146</v>
      </c>
    </row>
    <row r="18" ht="12.75">
      <c r="A18" s="5" t="s">
        <v>137</v>
      </c>
    </row>
    <row r="19" ht="9.75" customHeight="1" thickBot="1">
      <c r="A19" s="13"/>
    </row>
    <row r="20" spans="2:13" ht="13.5" thickBot="1">
      <c r="B20" s="193">
        <v>2007</v>
      </c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94"/>
    </row>
    <row r="21" spans="2:13" ht="42.75" thickBot="1">
      <c r="B21" s="139" t="s">
        <v>117</v>
      </c>
      <c r="C21" s="140" t="s">
        <v>118</v>
      </c>
      <c r="D21" s="140" t="s">
        <v>218</v>
      </c>
      <c r="E21" s="140" t="s">
        <v>119</v>
      </c>
      <c r="F21" s="141" t="s">
        <v>138</v>
      </c>
      <c r="G21" s="141" t="s">
        <v>139</v>
      </c>
      <c r="H21" s="141" t="s">
        <v>140</v>
      </c>
      <c r="I21" s="141" t="s">
        <v>141</v>
      </c>
      <c r="J21" s="141" t="s">
        <v>142</v>
      </c>
      <c r="K21" s="141" t="s">
        <v>143</v>
      </c>
      <c r="L21" s="141" t="s">
        <v>144</v>
      </c>
      <c r="M21" s="142" t="s">
        <v>145</v>
      </c>
    </row>
    <row r="22" spans="1:13" ht="12.75">
      <c r="A22" s="164" t="s">
        <v>112</v>
      </c>
      <c r="B22" s="71">
        <v>128</v>
      </c>
      <c r="C22" s="61">
        <v>32</v>
      </c>
      <c r="D22" s="61">
        <v>391.9</v>
      </c>
      <c r="E22" s="61">
        <v>20311</v>
      </c>
      <c r="F22" s="61">
        <v>0</v>
      </c>
      <c r="G22" s="61">
        <v>997</v>
      </c>
      <c r="H22" s="61">
        <v>0</v>
      </c>
      <c r="I22" s="61">
        <v>0</v>
      </c>
      <c r="J22" s="61">
        <v>140</v>
      </c>
      <c r="K22" s="61">
        <v>5001</v>
      </c>
      <c r="L22" s="61">
        <v>0</v>
      </c>
      <c r="M22" s="119">
        <v>503825</v>
      </c>
    </row>
    <row r="23" spans="1:13" ht="12.75">
      <c r="A23" s="163" t="s">
        <v>107</v>
      </c>
      <c r="B23" s="70">
        <v>116</v>
      </c>
      <c r="C23" s="69">
        <v>47</v>
      </c>
      <c r="D23" s="69">
        <v>616.3</v>
      </c>
      <c r="E23" s="69">
        <v>10931</v>
      </c>
      <c r="F23" s="69">
        <v>0</v>
      </c>
      <c r="G23" s="69">
        <v>555</v>
      </c>
      <c r="H23" s="69">
        <v>0</v>
      </c>
      <c r="I23" s="69">
        <v>0</v>
      </c>
      <c r="J23" s="69">
        <v>510</v>
      </c>
      <c r="K23" s="69">
        <v>3215</v>
      </c>
      <c r="L23" s="69">
        <v>0</v>
      </c>
      <c r="M23" s="120">
        <v>589696</v>
      </c>
    </row>
    <row r="24" spans="1:13" ht="12.75">
      <c r="A24" s="163" t="s">
        <v>120</v>
      </c>
      <c r="B24" s="70">
        <v>136</v>
      </c>
      <c r="C24" s="69">
        <v>69</v>
      </c>
      <c r="D24" s="69">
        <v>917.7</v>
      </c>
      <c r="E24" s="69">
        <v>13164</v>
      </c>
      <c r="F24" s="69">
        <v>0</v>
      </c>
      <c r="G24" s="69">
        <v>908</v>
      </c>
      <c r="H24" s="69">
        <v>300</v>
      </c>
      <c r="I24" s="69">
        <v>0</v>
      </c>
      <c r="J24" s="69">
        <v>10780</v>
      </c>
      <c r="K24" s="69">
        <v>6662</v>
      </c>
      <c r="L24" s="69">
        <v>32.6</v>
      </c>
      <c r="M24" s="120">
        <v>607626</v>
      </c>
    </row>
    <row r="25" spans="1:13" ht="12.75">
      <c r="A25" s="163" t="s">
        <v>121</v>
      </c>
      <c r="B25" s="70">
        <v>77</v>
      </c>
      <c r="C25" s="69">
        <v>46</v>
      </c>
      <c r="D25" s="69">
        <v>306.7</v>
      </c>
      <c r="E25" s="69">
        <v>1465</v>
      </c>
      <c r="F25" s="69">
        <v>0</v>
      </c>
      <c r="G25" s="69">
        <v>1491</v>
      </c>
      <c r="H25" s="69">
        <v>190</v>
      </c>
      <c r="I25" s="69">
        <v>32824</v>
      </c>
      <c r="J25" s="69">
        <v>3410</v>
      </c>
      <c r="K25" s="69">
        <v>1090</v>
      </c>
      <c r="L25" s="69">
        <v>0</v>
      </c>
      <c r="M25" s="120">
        <v>375833</v>
      </c>
    </row>
    <row r="26" spans="1:13" ht="12.75">
      <c r="A26" s="163" t="s">
        <v>122</v>
      </c>
      <c r="B26" s="70">
        <v>112</v>
      </c>
      <c r="C26" s="69">
        <v>29</v>
      </c>
      <c r="D26" s="69">
        <v>599.6</v>
      </c>
      <c r="E26" s="69">
        <v>8141</v>
      </c>
      <c r="F26" s="69">
        <v>0</v>
      </c>
      <c r="G26" s="69">
        <v>994</v>
      </c>
      <c r="H26" s="69">
        <v>0</v>
      </c>
      <c r="I26" s="69">
        <v>0</v>
      </c>
      <c r="J26" s="69">
        <v>0</v>
      </c>
      <c r="K26" s="69">
        <v>0</v>
      </c>
      <c r="L26" s="69">
        <v>0</v>
      </c>
      <c r="M26" s="120">
        <v>482104</v>
      </c>
    </row>
    <row r="27" spans="1:13" ht="12.75">
      <c r="A27" s="163" t="s">
        <v>123</v>
      </c>
      <c r="B27" s="70">
        <v>72</v>
      </c>
      <c r="C27" s="69">
        <v>37</v>
      </c>
      <c r="D27" s="69">
        <v>118.6</v>
      </c>
      <c r="E27" s="69">
        <v>9389</v>
      </c>
      <c r="F27" s="69">
        <v>0</v>
      </c>
      <c r="G27" s="69">
        <v>1642</v>
      </c>
      <c r="H27" s="69">
        <v>11</v>
      </c>
      <c r="I27" s="69">
        <v>13100</v>
      </c>
      <c r="J27" s="69">
        <v>993</v>
      </c>
      <c r="K27" s="69">
        <v>1132</v>
      </c>
      <c r="L27" s="69">
        <v>0</v>
      </c>
      <c r="M27" s="120">
        <v>275183</v>
      </c>
    </row>
    <row r="28" spans="1:13" ht="12.75">
      <c r="A28" s="163" t="s">
        <v>124</v>
      </c>
      <c r="B28" s="70">
        <v>39</v>
      </c>
      <c r="C28" s="69">
        <v>26</v>
      </c>
      <c r="D28" s="69">
        <v>9.9</v>
      </c>
      <c r="E28" s="69">
        <v>6660</v>
      </c>
      <c r="F28" s="69">
        <v>348</v>
      </c>
      <c r="G28" s="69">
        <v>1305</v>
      </c>
      <c r="H28" s="69">
        <v>0</v>
      </c>
      <c r="I28" s="69">
        <v>3460</v>
      </c>
      <c r="J28" s="69">
        <v>134</v>
      </c>
      <c r="K28" s="69">
        <v>710</v>
      </c>
      <c r="L28" s="69">
        <v>0</v>
      </c>
      <c r="M28" s="120">
        <v>166124</v>
      </c>
    </row>
    <row r="29" spans="1:13" ht="13.5" thickBot="1">
      <c r="A29" s="173" t="s">
        <v>125</v>
      </c>
      <c r="B29" s="122">
        <v>57</v>
      </c>
      <c r="C29" s="62">
        <v>30</v>
      </c>
      <c r="D29" s="62">
        <v>142.2</v>
      </c>
      <c r="E29" s="62">
        <v>9953</v>
      </c>
      <c r="F29" s="62">
        <v>0</v>
      </c>
      <c r="G29" s="62">
        <v>2062</v>
      </c>
      <c r="H29" s="62">
        <v>0</v>
      </c>
      <c r="I29" s="62">
        <v>3500</v>
      </c>
      <c r="J29" s="62">
        <v>375</v>
      </c>
      <c r="K29" s="62">
        <v>2035</v>
      </c>
      <c r="L29" s="62">
        <v>2.7</v>
      </c>
      <c r="M29" s="121">
        <v>296565</v>
      </c>
    </row>
    <row r="30" spans="1:13" ht="13.5" thickBot="1">
      <c r="A30" s="81" t="s">
        <v>75</v>
      </c>
      <c r="B30" s="118">
        <f aca="true" t="shared" si="1" ref="B30:M30">SUM(B22:B29)</f>
        <v>737</v>
      </c>
      <c r="C30" s="116">
        <f t="shared" si="1"/>
        <v>316</v>
      </c>
      <c r="D30" s="116">
        <f t="shared" si="1"/>
        <v>3102.8999999999996</v>
      </c>
      <c r="E30" s="116">
        <f t="shared" si="1"/>
        <v>80014</v>
      </c>
      <c r="F30" s="116">
        <f t="shared" si="1"/>
        <v>348</v>
      </c>
      <c r="G30" s="116">
        <f t="shared" si="1"/>
        <v>9954</v>
      </c>
      <c r="H30" s="116">
        <f t="shared" si="1"/>
        <v>501</v>
      </c>
      <c r="I30" s="116">
        <f t="shared" si="1"/>
        <v>52884</v>
      </c>
      <c r="J30" s="116">
        <f t="shared" si="1"/>
        <v>16342</v>
      </c>
      <c r="K30" s="116">
        <f t="shared" si="1"/>
        <v>19845</v>
      </c>
      <c r="L30" s="116">
        <f t="shared" si="1"/>
        <v>35.300000000000004</v>
      </c>
      <c r="M30" s="117">
        <f t="shared" si="1"/>
        <v>3296956</v>
      </c>
    </row>
    <row r="31" ht="12.75">
      <c r="A31" s="11" t="s">
        <v>113</v>
      </c>
    </row>
  </sheetData>
  <mergeCells count="2">
    <mergeCell ref="B4:M4"/>
    <mergeCell ref="B20:M20"/>
  </mergeCells>
  <printOptions horizontalCentered="1"/>
  <pageMargins left="0" right="0" top="0.3937007874015748" bottom="0.3937007874015748" header="0.3937007874015748" footer="0.393700787401574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AM494"/>
  <sheetViews>
    <sheetView workbookViewId="0" topLeftCell="A1">
      <selection activeCell="A1" sqref="A1"/>
    </sheetView>
  </sheetViews>
  <sheetFormatPr defaultColWidth="9.140625" defaultRowHeight="12.75"/>
  <cols>
    <col min="1" max="1" width="3.8515625" style="4" bestFit="1" customWidth="1"/>
    <col min="2" max="2" width="14.57421875" style="23" customWidth="1"/>
    <col min="3" max="3" width="6.28125" style="7" customWidth="1"/>
    <col min="4" max="15" width="6.28125" style="4" customWidth="1"/>
    <col min="16" max="16" width="5.8515625" style="4" bestFit="1" customWidth="1"/>
    <col min="17" max="17" width="5.140625" style="4" bestFit="1" customWidth="1"/>
    <col min="18" max="18" width="5.7109375" style="4" bestFit="1" customWidth="1"/>
    <col min="19" max="20" width="6.00390625" style="4" bestFit="1" customWidth="1"/>
    <col min="21" max="21" width="7.28125" style="4" bestFit="1" customWidth="1"/>
    <col min="22" max="22" width="5.7109375" style="4" bestFit="1" customWidth="1"/>
    <col min="23" max="39" width="9.140625" style="2" customWidth="1"/>
    <col min="40" max="16384" width="9.140625" style="4" customWidth="1"/>
  </cols>
  <sheetData>
    <row r="1" spans="1:16" ht="18.75">
      <c r="A1" s="6" t="s">
        <v>147</v>
      </c>
      <c r="P1" s="6"/>
    </row>
    <row r="2" spans="1:16" ht="12.75">
      <c r="A2" s="5" t="s">
        <v>148</v>
      </c>
      <c r="P2" s="8"/>
    </row>
    <row r="3" spans="1:2" ht="9.75" customHeight="1">
      <c r="A3" s="13" t="s">
        <v>217</v>
      </c>
      <c r="B3" s="10"/>
    </row>
    <row r="4" spans="1:2" ht="9.75" customHeight="1" thickBot="1">
      <c r="A4" s="13"/>
      <c r="B4" s="10"/>
    </row>
    <row r="5" spans="2:15" ht="13.5" thickBot="1">
      <c r="B5" s="10"/>
      <c r="C5" s="185">
        <v>2007</v>
      </c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7"/>
    </row>
    <row r="6" spans="2:15" ht="48" thickBot="1">
      <c r="B6" s="10"/>
      <c r="C6" s="51" t="s">
        <v>77</v>
      </c>
      <c r="D6" s="53" t="s">
        <v>78</v>
      </c>
      <c r="E6" s="53" t="s">
        <v>79</v>
      </c>
      <c r="F6" s="53" t="s">
        <v>80</v>
      </c>
      <c r="G6" s="53" t="s">
        <v>81</v>
      </c>
      <c r="H6" s="53" t="s">
        <v>82</v>
      </c>
      <c r="I6" s="53" t="s">
        <v>83</v>
      </c>
      <c r="J6" s="53" t="s">
        <v>84</v>
      </c>
      <c r="K6" s="53" t="s">
        <v>85</v>
      </c>
      <c r="L6" s="53" t="s">
        <v>86</v>
      </c>
      <c r="M6" s="53" t="s">
        <v>87</v>
      </c>
      <c r="N6" s="52" t="s">
        <v>88</v>
      </c>
      <c r="O6" s="73" t="s">
        <v>89</v>
      </c>
    </row>
    <row r="7" spans="1:22" ht="9.75" customHeight="1">
      <c r="A7" s="195" t="s">
        <v>154</v>
      </c>
      <c r="B7" s="153" t="s">
        <v>149</v>
      </c>
      <c r="C7" s="22">
        <v>8269</v>
      </c>
      <c r="D7" s="15">
        <v>11880</v>
      </c>
      <c r="E7" s="15">
        <v>13670</v>
      </c>
      <c r="F7" s="15">
        <v>14799</v>
      </c>
      <c r="G7" s="15">
        <v>18222</v>
      </c>
      <c r="H7" s="15">
        <v>9694</v>
      </c>
      <c r="I7" s="15">
        <v>8865</v>
      </c>
      <c r="J7" s="44">
        <v>7434</v>
      </c>
      <c r="K7" s="15">
        <v>4699</v>
      </c>
      <c r="L7" s="15">
        <v>3777</v>
      </c>
      <c r="M7" s="15">
        <v>4854</v>
      </c>
      <c r="N7" s="32">
        <v>6135</v>
      </c>
      <c r="O7" s="30">
        <f>SUM(C7:N7)</f>
        <v>112298</v>
      </c>
      <c r="P7" s="75"/>
      <c r="Q7" s="75"/>
      <c r="R7" s="75"/>
      <c r="S7" s="75"/>
      <c r="T7" s="75"/>
      <c r="U7" s="75"/>
      <c r="V7" s="75"/>
    </row>
    <row r="8" spans="1:22" ht="9.75" customHeight="1">
      <c r="A8" s="196"/>
      <c r="B8" s="154" t="s">
        <v>150</v>
      </c>
      <c r="C8" s="22">
        <v>2790</v>
      </c>
      <c r="D8" s="15">
        <v>2016</v>
      </c>
      <c r="E8" s="15">
        <v>1632</v>
      </c>
      <c r="F8" s="15">
        <v>969</v>
      </c>
      <c r="G8" s="15">
        <v>4</v>
      </c>
      <c r="H8" s="44">
        <v>0</v>
      </c>
      <c r="I8" s="15">
        <v>10</v>
      </c>
      <c r="J8" s="35">
        <v>506</v>
      </c>
      <c r="K8" s="15">
        <v>4429</v>
      </c>
      <c r="L8" s="15">
        <v>5131</v>
      </c>
      <c r="M8" s="15">
        <v>4190</v>
      </c>
      <c r="N8" s="32">
        <v>3761</v>
      </c>
      <c r="O8" s="30">
        <f>SUM(C8:N8)</f>
        <v>25438</v>
      </c>
      <c r="P8" s="75"/>
      <c r="Q8" s="75"/>
      <c r="R8" s="75"/>
      <c r="S8" s="75"/>
      <c r="T8" s="75"/>
      <c r="U8" s="75"/>
      <c r="V8" s="75"/>
    </row>
    <row r="9" spans="1:22" ht="9.75" customHeight="1">
      <c r="A9" s="196"/>
      <c r="B9" s="154" t="s">
        <v>151</v>
      </c>
      <c r="C9" s="19">
        <v>8705</v>
      </c>
      <c r="D9" s="16">
        <v>8422</v>
      </c>
      <c r="E9" s="16">
        <v>7497</v>
      </c>
      <c r="F9" s="16">
        <v>3740</v>
      </c>
      <c r="G9" s="16">
        <v>297</v>
      </c>
      <c r="H9" s="16">
        <v>79</v>
      </c>
      <c r="I9" s="16">
        <v>492</v>
      </c>
      <c r="J9" s="35">
        <v>1284</v>
      </c>
      <c r="K9" s="16">
        <v>8433</v>
      </c>
      <c r="L9" s="16">
        <v>9718</v>
      </c>
      <c r="M9" s="16">
        <v>8487</v>
      </c>
      <c r="N9" s="25">
        <v>7135</v>
      </c>
      <c r="O9" s="30">
        <f>SUM(C9:N9)</f>
        <v>64289</v>
      </c>
      <c r="P9" s="75"/>
      <c r="Q9" s="75"/>
      <c r="R9" s="75"/>
      <c r="S9" s="75"/>
      <c r="T9" s="75"/>
      <c r="U9" s="75"/>
      <c r="V9" s="75"/>
    </row>
    <row r="10" spans="1:22" ht="9.75" customHeight="1">
      <c r="A10" s="196"/>
      <c r="B10" s="155" t="s">
        <v>152</v>
      </c>
      <c r="C10" s="19">
        <v>812</v>
      </c>
      <c r="D10" s="16">
        <v>1306</v>
      </c>
      <c r="E10" s="16">
        <v>4177</v>
      </c>
      <c r="F10" s="16">
        <v>5656</v>
      </c>
      <c r="G10" s="16">
        <v>4727</v>
      </c>
      <c r="H10" s="16">
        <v>3905</v>
      </c>
      <c r="I10" s="16">
        <v>3508</v>
      </c>
      <c r="J10" s="35">
        <v>1443</v>
      </c>
      <c r="K10" s="16">
        <v>105</v>
      </c>
      <c r="L10" s="16">
        <v>50</v>
      </c>
      <c r="M10" s="16">
        <v>712</v>
      </c>
      <c r="N10" s="25">
        <v>1335</v>
      </c>
      <c r="O10" s="30">
        <f>SUM(C10:N10)</f>
        <v>27736</v>
      </c>
      <c r="P10" s="76"/>
      <c r="Q10" s="76"/>
      <c r="R10" s="76"/>
      <c r="S10" s="76"/>
      <c r="T10" s="76"/>
      <c r="U10" s="76"/>
      <c r="V10" s="76"/>
    </row>
    <row r="11" spans="1:22" ht="9.75" customHeight="1">
      <c r="A11" s="196"/>
      <c r="B11" s="155" t="s">
        <v>153</v>
      </c>
      <c r="C11" s="19">
        <v>687</v>
      </c>
      <c r="D11" s="16">
        <v>571</v>
      </c>
      <c r="E11" s="16">
        <v>247</v>
      </c>
      <c r="F11" s="16">
        <v>68</v>
      </c>
      <c r="G11" s="35">
        <v>0</v>
      </c>
      <c r="H11" s="35">
        <v>77</v>
      </c>
      <c r="I11" s="35">
        <v>572</v>
      </c>
      <c r="J11" s="35">
        <v>2832</v>
      </c>
      <c r="K11" s="35">
        <v>1869</v>
      </c>
      <c r="L11" s="35">
        <v>1372</v>
      </c>
      <c r="M11" s="35">
        <v>1279</v>
      </c>
      <c r="N11" s="36">
        <v>973</v>
      </c>
      <c r="O11" s="30">
        <f>SUM(C11:N11)</f>
        <v>10547</v>
      </c>
      <c r="P11" s="76"/>
      <c r="Q11" s="76"/>
      <c r="R11" s="76"/>
      <c r="S11" s="76"/>
      <c r="T11" s="76"/>
      <c r="U11" s="76"/>
      <c r="V11" s="76"/>
    </row>
    <row r="12" spans="1:39" s="7" customFormat="1" ht="9.75" customHeight="1">
      <c r="A12" s="196"/>
      <c r="B12" s="155" t="s">
        <v>155</v>
      </c>
      <c r="C12" s="19">
        <v>346</v>
      </c>
      <c r="D12" s="16">
        <v>357</v>
      </c>
      <c r="E12" s="16">
        <v>282</v>
      </c>
      <c r="F12" s="16">
        <v>406</v>
      </c>
      <c r="G12" s="16">
        <v>390</v>
      </c>
      <c r="H12" s="16">
        <v>141</v>
      </c>
      <c r="I12" s="16">
        <v>154</v>
      </c>
      <c r="J12" s="35">
        <v>43</v>
      </c>
      <c r="K12" s="16">
        <v>48</v>
      </c>
      <c r="L12" s="16">
        <v>26</v>
      </c>
      <c r="M12" s="16">
        <v>140</v>
      </c>
      <c r="N12" s="25">
        <v>252</v>
      </c>
      <c r="O12" s="28">
        <f aca="true" t="shared" si="0" ref="O12:O31">SUM(C12:N12)</f>
        <v>2585</v>
      </c>
      <c r="P12" s="77"/>
      <c r="Q12" s="78"/>
      <c r="R12" s="78"/>
      <c r="S12" s="77"/>
      <c r="T12" s="77"/>
      <c r="U12" s="78"/>
      <c r="V12" s="78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1:20" s="12" customFormat="1" ht="9.75" customHeight="1">
      <c r="A13" s="196"/>
      <c r="B13" s="155" t="s">
        <v>156</v>
      </c>
      <c r="C13" s="19">
        <v>3205</v>
      </c>
      <c r="D13" s="16">
        <v>1547</v>
      </c>
      <c r="E13" s="16">
        <v>1292</v>
      </c>
      <c r="F13" s="16">
        <v>387</v>
      </c>
      <c r="G13" s="16">
        <v>16</v>
      </c>
      <c r="H13" s="31">
        <v>5</v>
      </c>
      <c r="I13" s="31">
        <v>0</v>
      </c>
      <c r="J13" s="35">
        <v>0</v>
      </c>
      <c r="K13" s="31">
        <v>0</v>
      </c>
      <c r="L13" s="16">
        <v>231</v>
      </c>
      <c r="M13" s="16">
        <v>3077</v>
      </c>
      <c r="N13" s="25">
        <v>5249</v>
      </c>
      <c r="O13" s="28">
        <f t="shared" si="0"/>
        <v>15009</v>
      </c>
      <c r="P13" s="79"/>
      <c r="Q13" s="79"/>
      <c r="R13" s="79"/>
      <c r="S13" s="79"/>
      <c r="T13" s="79"/>
    </row>
    <row r="14" spans="1:20" s="12" customFormat="1" ht="9.75" customHeight="1">
      <c r="A14" s="196"/>
      <c r="B14" s="155" t="s">
        <v>157</v>
      </c>
      <c r="C14" s="19">
        <v>57</v>
      </c>
      <c r="D14" s="16">
        <v>31</v>
      </c>
      <c r="E14" s="16">
        <v>55</v>
      </c>
      <c r="F14" s="16">
        <v>23</v>
      </c>
      <c r="G14" s="16">
        <v>12</v>
      </c>
      <c r="H14" s="31">
        <v>4</v>
      </c>
      <c r="I14" s="31">
        <v>3</v>
      </c>
      <c r="J14" s="35">
        <v>2</v>
      </c>
      <c r="K14" s="31">
        <v>2</v>
      </c>
      <c r="L14" s="16">
        <v>7</v>
      </c>
      <c r="M14" s="16">
        <v>15</v>
      </c>
      <c r="N14" s="25">
        <v>26</v>
      </c>
      <c r="O14" s="28">
        <f t="shared" si="0"/>
        <v>237</v>
      </c>
      <c r="P14" s="79"/>
      <c r="Q14" s="79"/>
      <c r="R14" s="79"/>
      <c r="S14" s="79"/>
      <c r="T14" s="79"/>
    </row>
    <row r="15" spans="1:20" s="12" customFormat="1" ht="9.75" customHeight="1">
      <c r="A15" s="196"/>
      <c r="B15" s="155" t="s">
        <v>158</v>
      </c>
      <c r="C15" s="34">
        <v>148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18</v>
      </c>
      <c r="L15" s="35">
        <v>270</v>
      </c>
      <c r="M15" s="35">
        <v>821</v>
      </c>
      <c r="N15" s="36">
        <v>507</v>
      </c>
      <c r="O15" s="28">
        <f t="shared" si="0"/>
        <v>1764</v>
      </c>
      <c r="P15" s="79"/>
      <c r="Q15" s="79"/>
      <c r="R15" s="79"/>
      <c r="S15" s="79"/>
      <c r="T15" s="79"/>
    </row>
    <row r="16" spans="1:20" s="12" customFormat="1" ht="9.75" customHeight="1">
      <c r="A16" s="196"/>
      <c r="B16" s="155" t="s">
        <v>159</v>
      </c>
      <c r="C16" s="19">
        <v>4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80</v>
      </c>
      <c r="L16" s="35">
        <v>193</v>
      </c>
      <c r="M16" s="35">
        <v>83</v>
      </c>
      <c r="N16" s="36">
        <v>0</v>
      </c>
      <c r="O16" s="28">
        <f t="shared" si="0"/>
        <v>360</v>
      </c>
      <c r="P16" s="79"/>
      <c r="Q16" s="79"/>
      <c r="R16" s="79"/>
      <c r="S16" s="79"/>
      <c r="T16" s="79"/>
    </row>
    <row r="17" spans="1:20" s="12" customFormat="1" ht="9.75" customHeight="1">
      <c r="A17" s="196"/>
      <c r="B17" s="155" t="s">
        <v>160</v>
      </c>
      <c r="C17" s="34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8</v>
      </c>
      <c r="K17" s="35">
        <v>0</v>
      </c>
      <c r="L17" s="35">
        <v>0</v>
      </c>
      <c r="M17" s="35">
        <v>0</v>
      </c>
      <c r="N17" s="36">
        <v>0</v>
      </c>
      <c r="O17" s="28">
        <f t="shared" si="0"/>
        <v>8</v>
      </c>
      <c r="P17" s="79"/>
      <c r="Q17" s="79"/>
      <c r="R17" s="79"/>
      <c r="S17" s="79"/>
      <c r="T17" s="79"/>
    </row>
    <row r="18" spans="1:20" s="12" customFormat="1" ht="9.75" customHeight="1">
      <c r="A18" s="196"/>
      <c r="B18" s="155" t="s">
        <v>161</v>
      </c>
      <c r="C18" s="19">
        <v>8384</v>
      </c>
      <c r="D18" s="35">
        <v>9216</v>
      </c>
      <c r="E18" s="35">
        <v>8563</v>
      </c>
      <c r="F18" s="35">
        <v>3597</v>
      </c>
      <c r="G18" s="35">
        <v>569</v>
      </c>
      <c r="H18" s="35">
        <v>28</v>
      </c>
      <c r="I18" s="35">
        <v>18</v>
      </c>
      <c r="J18" s="35">
        <v>23</v>
      </c>
      <c r="K18" s="35">
        <v>0</v>
      </c>
      <c r="L18" s="35">
        <v>0</v>
      </c>
      <c r="M18" s="35">
        <v>3919</v>
      </c>
      <c r="N18" s="36">
        <v>9313</v>
      </c>
      <c r="O18" s="28">
        <f t="shared" si="0"/>
        <v>43630</v>
      </c>
      <c r="P18" s="79"/>
      <c r="Q18" s="79"/>
      <c r="R18" s="79"/>
      <c r="S18" s="79"/>
      <c r="T18" s="79"/>
    </row>
    <row r="19" spans="1:20" s="12" customFormat="1" ht="9.75" customHeight="1">
      <c r="A19" s="196"/>
      <c r="B19" s="156" t="s">
        <v>162</v>
      </c>
      <c r="C19" s="34">
        <v>0</v>
      </c>
      <c r="D19" s="35">
        <v>0</v>
      </c>
      <c r="E19" s="35">
        <v>7</v>
      </c>
      <c r="F19" s="35">
        <v>30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6">
        <v>0</v>
      </c>
      <c r="O19" s="48">
        <f t="shared" si="0"/>
        <v>37</v>
      </c>
      <c r="P19" s="79"/>
      <c r="Q19" s="79"/>
      <c r="R19" s="79"/>
      <c r="S19" s="79"/>
      <c r="T19" s="79"/>
    </row>
    <row r="20" spans="1:20" s="12" customFormat="1" ht="9.75" customHeight="1">
      <c r="A20" s="196"/>
      <c r="B20" s="156" t="s">
        <v>163</v>
      </c>
      <c r="C20" s="34">
        <v>0</v>
      </c>
      <c r="D20" s="35">
        <v>0</v>
      </c>
      <c r="E20" s="35">
        <v>0</v>
      </c>
      <c r="F20" s="35">
        <v>0</v>
      </c>
      <c r="G20" s="35">
        <v>582</v>
      </c>
      <c r="H20" s="35">
        <v>701</v>
      </c>
      <c r="I20" s="35">
        <v>503</v>
      </c>
      <c r="J20" s="35">
        <v>646</v>
      </c>
      <c r="K20" s="35">
        <v>533</v>
      </c>
      <c r="L20" s="35">
        <v>262</v>
      </c>
      <c r="M20" s="35">
        <v>40</v>
      </c>
      <c r="N20" s="36">
        <v>0</v>
      </c>
      <c r="O20" s="48">
        <f t="shared" si="0"/>
        <v>3267</v>
      </c>
      <c r="P20" s="79"/>
      <c r="Q20" s="79"/>
      <c r="R20" s="79"/>
      <c r="S20" s="79"/>
      <c r="T20" s="79"/>
    </row>
    <row r="21" spans="1:20" s="12" customFormat="1" ht="9.75" customHeight="1">
      <c r="A21" s="196"/>
      <c r="B21" s="156" t="s">
        <v>164</v>
      </c>
      <c r="C21" s="34">
        <v>0</v>
      </c>
      <c r="D21" s="35">
        <v>0</v>
      </c>
      <c r="E21" s="35">
        <v>7</v>
      </c>
      <c r="F21" s="35">
        <v>1046</v>
      </c>
      <c r="G21" s="35">
        <v>1564</v>
      </c>
      <c r="H21" s="35">
        <v>5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6">
        <v>0</v>
      </c>
      <c r="O21" s="48">
        <f t="shared" si="0"/>
        <v>2622</v>
      </c>
      <c r="P21" s="79"/>
      <c r="Q21" s="79"/>
      <c r="R21" s="79"/>
      <c r="S21" s="79"/>
      <c r="T21" s="79"/>
    </row>
    <row r="22" spans="1:20" s="12" customFormat="1" ht="9.75" customHeight="1">
      <c r="A22" s="196"/>
      <c r="B22" s="156" t="s">
        <v>165</v>
      </c>
      <c r="C22" s="34">
        <v>0</v>
      </c>
      <c r="D22" s="35">
        <v>0</v>
      </c>
      <c r="E22" s="35">
        <v>0</v>
      </c>
      <c r="F22" s="35">
        <v>0</v>
      </c>
      <c r="G22" s="35">
        <v>159</v>
      </c>
      <c r="H22" s="35">
        <v>569</v>
      </c>
      <c r="I22" s="35">
        <v>1517</v>
      </c>
      <c r="J22" s="35">
        <v>1640</v>
      </c>
      <c r="K22" s="35">
        <v>1138</v>
      </c>
      <c r="L22" s="35">
        <v>145</v>
      </c>
      <c r="M22" s="35">
        <v>0</v>
      </c>
      <c r="N22" s="36">
        <v>0</v>
      </c>
      <c r="O22" s="48">
        <f t="shared" si="0"/>
        <v>5168</v>
      </c>
      <c r="P22" s="79"/>
      <c r="Q22" s="79"/>
      <c r="R22" s="79"/>
      <c r="S22" s="79"/>
      <c r="T22" s="79"/>
    </row>
    <row r="23" spans="1:20" s="12" customFormat="1" ht="9.75" customHeight="1">
      <c r="A23" s="196"/>
      <c r="B23" s="156" t="s">
        <v>166</v>
      </c>
      <c r="C23" s="34">
        <v>0</v>
      </c>
      <c r="D23" s="35">
        <v>0</v>
      </c>
      <c r="E23" s="35">
        <v>0</v>
      </c>
      <c r="F23" s="35">
        <v>0</v>
      </c>
      <c r="G23" s="35">
        <v>147</v>
      </c>
      <c r="H23" s="35">
        <v>1053</v>
      </c>
      <c r="I23" s="35">
        <v>866</v>
      </c>
      <c r="J23" s="35">
        <v>34</v>
      </c>
      <c r="K23" s="35">
        <v>0</v>
      </c>
      <c r="L23" s="35">
        <v>0</v>
      </c>
      <c r="M23" s="35">
        <v>0</v>
      </c>
      <c r="N23" s="36">
        <v>0</v>
      </c>
      <c r="O23" s="48">
        <f t="shared" si="0"/>
        <v>2100</v>
      </c>
      <c r="P23" s="79"/>
      <c r="Q23" s="79"/>
      <c r="R23" s="79"/>
      <c r="S23" s="79"/>
      <c r="T23" s="79"/>
    </row>
    <row r="24" spans="1:20" s="12" customFormat="1" ht="9.75" customHeight="1">
      <c r="A24" s="196"/>
      <c r="B24" s="156" t="s">
        <v>167</v>
      </c>
      <c r="C24" s="34">
        <v>0</v>
      </c>
      <c r="D24" s="35">
        <v>0</v>
      </c>
      <c r="E24" s="35">
        <v>0</v>
      </c>
      <c r="F24" s="35">
        <v>0</v>
      </c>
      <c r="G24" s="35">
        <v>171</v>
      </c>
      <c r="H24" s="35">
        <v>2243</v>
      </c>
      <c r="I24" s="35">
        <v>2051</v>
      </c>
      <c r="J24" s="35">
        <v>109</v>
      </c>
      <c r="K24" s="35">
        <v>0</v>
      </c>
      <c r="L24" s="35">
        <v>0</v>
      </c>
      <c r="M24" s="35">
        <v>0</v>
      </c>
      <c r="N24" s="36">
        <v>0</v>
      </c>
      <c r="O24" s="48">
        <f t="shared" si="0"/>
        <v>4574</v>
      </c>
      <c r="P24" s="79"/>
      <c r="Q24" s="79"/>
      <c r="R24" s="79"/>
      <c r="S24" s="79"/>
      <c r="T24" s="79"/>
    </row>
    <row r="25" spans="1:20" s="12" customFormat="1" ht="9.75" customHeight="1">
      <c r="A25" s="196"/>
      <c r="B25" s="156" t="s">
        <v>168</v>
      </c>
      <c r="C25" s="34">
        <v>0</v>
      </c>
      <c r="D25" s="35">
        <v>0</v>
      </c>
      <c r="E25" s="35">
        <v>0</v>
      </c>
      <c r="F25" s="35">
        <v>0</v>
      </c>
      <c r="G25" s="35">
        <v>0</v>
      </c>
      <c r="H25" s="35">
        <v>4</v>
      </c>
      <c r="I25" s="35">
        <v>7</v>
      </c>
      <c r="J25" s="35">
        <v>6</v>
      </c>
      <c r="K25" s="35">
        <v>5</v>
      </c>
      <c r="L25" s="35">
        <v>0</v>
      </c>
      <c r="M25" s="35">
        <v>0</v>
      </c>
      <c r="N25" s="36">
        <v>0</v>
      </c>
      <c r="O25" s="48">
        <f t="shared" si="0"/>
        <v>22</v>
      </c>
      <c r="P25" s="79"/>
      <c r="Q25" s="79"/>
      <c r="R25" s="79"/>
      <c r="S25" s="79"/>
      <c r="T25" s="79"/>
    </row>
    <row r="26" spans="1:20" s="12" customFormat="1" ht="9.75" customHeight="1">
      <c r="A26" s="196"/>
      <c r="B26" s="156" t="s">
        <v>169</v>
      </c>
      <c r="C26" s="34">
        <v>0</v>
      </c>
      <c r="D26" s="35">
        <v>0</v>
      </c>
      <c r="E26" s="35">
        <v>0</v>
      </c>
      <c r="F26" s="35">
        <v>0</v>
      </c>
      <c r="G26" s="35">
        <v>0</v>
      </c>
      <c r="H26" s="35">
        <v>165</v>
      </c>
      <c r="I26" s="35">
        <v>598</v>
      </c>
      <c r="J26" s="35">
        <v>1</v>
      </c>
      <c r="K26" s="35">
        <v>2</v>
      </c>
      <c r="L26" s="35">
        <v>0</v>
      </c>
      <c r="M26" s="35">
        <v>0</v>
      </c>
      <c r="N26" s="36">
        <v>0</v>
      </c>
      <c r="O26" s="48">
        <f t="shared" si="0"/>
        <v>766</v>
      </c>
      <c r="P26" s="79"/>
      <c r="Q26" s="79"/>
      <c r="R26" s="79"/>
      <c r="S26" s="79"/>
      <c r="T26" s="79"/>
    </row>
    <row r="27" spans="1:20" s="12" customFormat="1" ht="9.75" customHeight="1">
      <c r="A27" s="196"/>
      <c r="B27" s="156" t="s">
        <v>170</v>
      </c>
      <c r="C27" s="34">
        <v>0</v>
      </c>
      <c r="D27" s="35">
        <v>0</v>
      </c>
      <c r="E27" s="35">
        <v>0</v>
      </c>
      <c r="F27" s="35">
        <v>0</v>
      </c>
      <c r="G27" s="35">
        <v>0</v>
      </c>
      <c r="H27" s="35">
        <v>7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6">
        <v>0</v>
      </c>
      <c r="O27" s="48">
        <f t="shared" si="0"/>
        <v>7</v>
      </c>
      <c r="P27" s="79"/>
      <c r="Q27" s="79"/>
      <c r="R27" s="79"/>
      <c r="S27" s="79"/>
      <c r="T27" s="79"/>
    </row>
    <row r="28" spans="1:20" s="12" customFormat="1" ht="9.75" customHeight="1">
      <c r="A28" s="196"/>
      <c r="B28" s="157" t="s">
        <v>171</v>
      </c>
      <c r="C28" s="5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28</v>
      </c>
      <c r="J28" s="35">
        <v>14</v>
      </c>
      <c r="K28" s="37">
        <v>41</v>
      </c>
      <c r="L28" s="37">
        <v>20</v>
      </c>
      <c r="M28" s="37">
        <v>0</v>
      </c>
      <c r="N28" s="38">
        <v>0</v>
      </c>
      <c r="O28" s="49">
        <f t="shared" si="0"/>
        <v>103</v>
      </c>
      <c r="P28" s="79"/>
      <c r="Q28" s="79"/>
      <c r="R28" s="79"/>
      <c r="S28" s="79"/>
      <c r="T28" s="79"/>
    </row>
    <row r="29" spans="1:20" s="12" customFormat="1" ht="9.75" customHeight="1">
      <c r="A29" s="196"/>
      <c r="B29" s="157" t="s">
        <v>221</v>
      </c>
      <c r="C29" s="57"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35</v>
      </c>
      <c r="L29" s="37">
        <v>117</v>
      </c>
      <c r="M29" s="37">
        <v>4</v>
      </c>
      <c r="N29" s="38">
        <v>0</v>
      </c>
      <c r="O29" s="49">
        <f t="shared" si="0"/>
        <v>156</v>
      </c>
      <c r="P29" s="79"/>
      <c r="Q29" s="79"/>
      <c r="R29" s="79"/>
      <c r="S29" s="79"/>
      <c r="T29" s="79"/>
    </row>
    <row r="30" spans="1:20" s="12" customFormat="1" ht="9.75" customHeight="1">
      <c r="A30" s="196"/>
      <c r="B30" s="157" t="s">
        <v>172</v>
      </c>
      <c r="C30" s="57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8</v>
      </c>
      <c r="L30" s="37">
        <v>0</v>
      </c>
      <c r="M30" s="37">
        <v>0</v>
      </c>
      <c r="N30" s="38">
        <v>0</v>
      </c>
      <c r="O30" s="49">
        <f t="shared" si="0"/>
        <v>8</v>
      </c>
      <c r="P30" s="79"/>
      <c r="Q30" s="79"/>
      <c r="R30" s="79"/>
      <c r="S30" s="79"/>
      <c r="T30" s="79"/>
    </row>
    <row r="31" spans="1:39" s="9" customFormat="1" ht="9.75" customHeight="1" thickBot="1">
      <c r="A31" s="196"/>
      <c r="B31" s="157" t="s">
        <v>173</v>
      </c>
      <c r="C31" s="21">
        <v>130</v>
      </c>
      <c r="D31" s="18">
        <v>96</v>
      </c>
      <c r="E31" s="18">
        <v>131</v>
      </c>
      <c r="F31" s="18">
        <v>194</v>
      </c>
      <c r="G31" s="18">
        <v>360</v>
      </c>
      <c r="H31" s="18">
        <v>426</v>
      </c>
      <c r="I31" s="18">
        <v>343</v>
      </c>
      <c r="J31" s="37">
        <v>262</v>
      </c>
      <c r="K31" s="18">
        <v>294</v>
      </c>
      <c r="L31" s="18">
        <v>260</v>
      </c>
      <c r="M31" s="18">
        <v>248</v>
      </c>
      <c r="N31" s="26">
        <v>186</v>
      </c>
      <c r="O31" s="29">
        <f t="shared" si="0"/>
        <v>2930</v>
      </c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</row>
    <row r="32" spans="1:38" s="9" customFormat="1" ht="9.75" customHeight="1" thickBot="1">
      <c r="A32" s="199"/>
      <c r="B32" s="81" t="s">
        <v>174</v>
      </c>
      <c r="C32" s="20">
        <f aca="true" t="shared" si="1" ref="C32:N32">SUM(C7:C31)</f>
        <v>33537</v>
      </c>
      <c r="D32" s="20">
        <f t="shared" si="1"/>
        <v>35442</v>
      </c>
      <c r="E32" s="20">
        <f t="shared" si="1"/>
        <v>37560</v>
      </c>
      <c r="F32" s="20">
        <f t="shared" si="1"/>
        <v>30915</v>
      </c>
      <c r="G32" s="20">
        <f t="shared" si="1"/>
        <v>27220</v>
      </c>
      <c r="H32" s="20">
        <f t="shared" si="1"/>
        <v>19106</v>
      </c>
      <c r="I32" s="20">
        <f t="shared" si="1"/>
        <v>19535</v>
      </c>
      <c r="J32" s="20">
        <f t="shared" si="1"/>
        <v>16287</v>
      </c>
      <c r="K32" s="20">
        <f t="shared" si="1"/>
        <v>21739</v>
      </c>
      <c r="L32" s="20">
        <f t="shared" si="1"/>
        <v>21579</v>
      </c>
      <c r="M32" s="20">
        <f t="shared" si="1"/>
        <v>27869</v>
      </c>
      <c r="N32" s="17">
        <f t="shared" si="1"/>
        <v>34872</v>
      </c>
      <c r="O32" s="33">
        <f>SUM(C32:N32)</f>
        <v>325661</v>
      </c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</row>
    <row r="33" spans="1:39" s="9" customFormat="1" ht="9.75" customHeight="1">
      <c r="A33" s="14"/>
      <c r="B33" s="11"/>
      <c r="C33" s="80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 spans="1:39" s="9" customFormat="1" ht="18.75">
      <c r="A34" s="6" t="s">
        <v>175</v>
      </c>
      <c r="B34" s="23"/>
      <c r="C34" s="7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 spans="1:39" s="9" customFormat="1" ht="12.75">
      <c r="A35" s="5" t="s">
        <v>148</v>
      </c>
      <c r="B35" s="23"/>
      <c r="C35" s="7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</row>
    <row r="36" spans="1:39" s="9" customFormat="1" ht="12.75">
      <c r="A36" s="13" t="s">
        <v>217</v>
      </c>
      <c r="B36" s="10"/>
      <c r="C36" s="7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</row>
    <row r="37" spans="1:39" s="9" customFormat="1" ht="9.75" customHeight="1" thickBot="1">
      <c r="A37" s="13"/>
      <c r="B37" s="10"/>
      <c r="C37" s="7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spans="1:39" s="9" customFormat="1" ht="13.5" thickBot="1">
      <c r="A38" s="4"/>
      <c r="B38" s="10"/>
      <c r="C38" s="185">
        <v>2007</v>
      </c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7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</row>
    <row r="39" spans="1:39" s="9" customFormat="1" ht="48" thickBot="1">
      <c r="A39" s="4"/>
      <c r="B39" s="10"/>
      <c r="C39" s="51" t="s">
        <v>77</v>
      </c>
      <c r="D39" s="53" t="s">
        <v>78</v>
      </c>
      <c r="E39" s="53" t="s">
        <v>79</v>
      </c>
      <c r="F39" s="53" t="s">
        <v>80</v>
      </c>
      <c r="G39" s="53" t="s">
        <v>81</v>
      </c>
      <c r="H39" s="53" t="s">
        <v>82</v>
      </c>
      <c r="I39" s="53" t="s">
        <v>83</v>
      </c>
      <c r="J39" s="53" t="s">
        <v>84</v>
      </c>
      <c r="K39" s="53" t="s">
        <v>85</v>
      </c>
      <c r="L39" s="53" t="s">
        <v>86</v>
      </c>
      <c r="M39" s="53" t="s">
        <v>87</v>
      </c>
      <c r="N39" s="52" t="s">
        <v>88</v>
      </c>
      <c r="O39" s="73" t="s">
        <v>89</v>
      </c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</row>
    <row r="40" spans="1:39" s="9" customFormat="1" ht="9.75" customHeight="1">
      <c r="A40" s="195" t="s">
        <v>182</v>
      </c>
      <c r="B40" s="153" t="s">
        <v>149</v>
      </c>
      <c r="C40" s="39">
        <v>67</v>
      </c>
      <c r="D40" s="40">
        <v>50</v>
      </c>
      <c r="E40" s="40">
        <v>31</v>
      </c>
      <c r="F40" s="40">
        <v>4</v>
      </c>
      <c r="G40" s="40">
        <v>0</v>
      </c>
      <c r="H40" s="40">
        <v>0</v>
      </c>
      <c r="I40" s="40">
        <v>0</v>
      </c>
      <c r="J40" s="40">
        <v>3</v>
      </c>
      <c r="K40" s="40">
        <v>4</v>
      </c>
      <c r="L40" s="40">
        <v>16</v>
      </c>
      <c r="M40" s="40">
        <v>1</v>
      </c>
      <c r="N40" s="41">
        <v>2</v>
      </c>
      <c r="O40" s="82">
        <f>SUM(C40:N40)</f>
        <v>178</v>
      </c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</row>
    <row r="41" spans="1:39" s="9" customFormat="1" ht="9.75" customHeight="1">
      <c r="A41" s="196"/>
      <c r="B41" s="154" t="s">
        <v>150</v>
      </c>
      <c r="C41" s="43">
        <v>3</v>
      </c>
      <c r="D41" s="44">
        <v>2</v>
      </c>
      <c r="E41" s="44">
        <v>16</v>
      </c>
      <c r="F41" s="44">
        <v>8</v>
      </c>
      <c r="G41" s="44">
        <v>20</v>
      </c>
      <c r="H41" s="44">
        <v>19</v>
      </c>
      <c r="I41" s="44">
        <v>0</v>
      </c>
      <c r="J41" s="44">
        <v>457</v>
      </c>
      <c r="K41" s="44">
        <v>981</v>
      </c>
      <c r="L41" s="44">
        <v>97</v>
      </c>
      <c r="M41" s="44">
        <v>0</v>
      </c>
      <c r="N41" s="45">
        <v>0</v>
      </c>
      <c r="O41" s="46">
        <f>SUM(C41:N41)</f>
        <v>1603</v>
      </c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</row>
    <row r="42" spans="1:39" s="9" customFormat="1" ht="9.75" customHeight="1">
      <c r="A42" s="196"/>
      <c r="B42" s="154" t="s">
        <v>151</v>
      </c>
      <c r="C42" s="34">
        <v>13</v>
      </c>
      <c r="D42" s="35">
        <v>48</v>
      </c>
      <c r="E42" s="35">
        <v>123</v>
      </c>
      <c r="F42" s="35">
        <v>144</v>
      </c>
      <c r="G42" s="35">
        <v>56</v>
      </c>
      <c r="H42" s="35">
        <v>54</v>
      </c>
      <c r="I42" s="35">
        <v>24</v>
      </c>
      <c r="J42" s="44">
        <v>3</v>
      </c>
      <c r="K42" s="35">
        <v>0</v>
      </c>
      <c r="L42" s="35">
        <v>0</v>
      </c>
      <c r="M42" s="35">
        <v>21</v>
      </c>
      <c r="N42" s="36">
        <v>13</v>
      </c>
      <c r="O42" s="46">
        <f aca="true" t="shared" si="2" ref="O42:O69">SUM(C42:N42)</f>
        <v>499</v>
      </c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</row>
    <row r="43" spans="1:39" s="9" customFormat="1" ht="9.75" customHeight="1">
      <c r="A43" s="196"/>
      <c r="B43" s="155" t="s">
        <v>152</v>
      </c>
      <c r="C43" s="34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44">
        <v>0</v>
      </c>
      <c r="K43" s="35">
        <v>136</v>
      </c>
      <c r="L43" s="35">
        <v>92</v>
      </c>
      <c r="M43" s="35">
        <v>24</v>
      </c>
      <c r="N43" s="36">
        <v>0</v>
      </c>
      <c r="O43" s="46">
        <f t="shared" si="2"/>
        <v>252</v>
      </c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1:39" s="9" customFormat="1" ht="9.75" customHeight="1">
      <c r="A44" s="196"/>
      <c r="B44" s="155" t="s">
        <v>153</v>
      </c>
      <c r="C44" s="34">
        <v>0</v>
      </c>
      <c r="D44" s="35">
        <v>3</v>
      </c>
      <c r="E44" s="35">
        <v>9</v>
      </c>
      <c r="F44" s="35">
        <v>13</v>
      </c>
      <c r="G44" s="35">
        <v>7</v>
      </c>
      <c r="H44" s="35">
        <v>22</v>
      </c>
      <c r="I44" s="35">
        <v>0</v>
      </c>
      <c r="J44" s="44">
        <v>0</v>
      </c>
      <c r="K44" s="35">
        <v>0</v>
      </c>
      <c r="L44" s="35">
        <v>1</v>
      </c>
      <c r="M44" s="35">
        <v>9</v>
      </c>
      <c r="N44" s="36">
        <v>4</v>
      </c>
      <c r="O44" s="46">
        <f t="shared" si="2"/>
        <v>68</v>
      </c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</row>
    <row r="45" spans="1:39" s="9" customFormat="1" ht="9.75" customHeight="1">
      <c r="A45" s="196"/>
      <c r="B45" s="155" t="s">
        <v>155</v>
      </c>
      <c r="C45" s="34">
        <v>1</v>
      </c>
      <c r="D45" s="35">
        <v>4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44">
        <v>0</v>
      </c>
      <c r="K45" s="35">
        <v>26</v>
      </c>
      <c r="L45" s="35">
        <v>53</v>
      </c>
      <c r="M45" s="35">
        <v>36</v>
      </c>
      <c r="N45" s="36">
        <v>0</v>
      </c>
      <c r="O45" s="46">
        <f t="shared" si="2"/>
        <v>120</v>
      </c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</row>
    <row r="46" spans="1:39" s="9" customFormat="1" ht="9.75" customHeight="1">
      <c r="A46" s="196"/>
      <c r="B46" s="155" t="s">
        <v>156</v>
      </c>
      <c r="C46" s="34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44">
        <v>0</v>
      </c>
      <c r="K46" s="35">
        <v>0</v>
      </c>
      <c r="L46" s="35">
        <v>0</v>
      </c>
      <c r="M46" s="35">
        <v>0</v>
      </c>
      <c r="N46" s="36">
        <v>0</v>
      </c>
      <c r="O46" s="46">
        <f t="shared" si="2"/>
        <v>0</v>
      </c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1:39" s="9" customFormat="1" ht="9.75" customHeight="1">
      <c r="A47" s="196"/>
      <c r="B47" s="155" t="s">
        <v>157</v>
      </c>
      <c r="C47" s="34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2</v>
      </c>
      <c r="J47" s="44">
        <v>5</v>
      </c>
      <c r="K47" s="35">
        <v>0</v>
      </c>
      <c r="L47" s="35">
        <v>0</v>
      </c>
      <c r="M47" s="35">
        <v>0</v>
      </c>
      <c r="N47" s="36">
        <v>0</v>
      </c>
      <c r="O47" s="46">
        <f t="shared" si="2"/>
        <v>7</v>
      </c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48" spans="1:39" s="9" customFormat="1" ht="9.75" customHeight="1">
      <c r="A48" s="196"/>
      <c r="B48" s="155" t="s">
        <v>158</v>
      </c>
      <c r="C48" s="34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44">
        <v>0</v>
      </c>
      <c r="K48" s="35">
        <v>0</v>
      </c>
      <c r="L48" s="35">
        <v>0</v>
      </c>
      <c r="M48" s="35">
        <v>0</v>
      </c>
      <c r="N48" s="36">
        <v>11</v>
      </c>
      <c r="O48" s="46">
        <f t="shared" si="2"/>
        <v>11</v>
      </c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</row>
    <row r="49" spans="1:39" s="9" customFormat="1" ht="9.75" customHeight="1">
      <c r="A49" s="196"/>
      <c r="B49" s="155" t="s">
        <v>159</v>
      </c>
      <c r="C49" s="34">
        <v>0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44">
        <v>0</v>
      </c>
      <c r="K49" s="35">
        <v>0</v>
      </c>
      <c r="L49" s="35">
        <v>0</v>
      </c>
      <c r="M49" s="35">
        <v>0</v>
      </c>
      <c r="N49" s="36">
        <v>0</v>
      </c>
      <c r="O49" s="46">
        <f t="shared" si="2"/>
        <v>0</v>
      </c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</row>
    <row r="50" spans="1:39" s="9" customFormat="1" ht="9.75" customHeight="1">
      <c r="A50" s="196"/>
      <c r="B50" s="155" t="s">
        <v>161</v>
      </c>
      <c r="C50" s="34">
        <v>0</v>
      </c>
      <c r="D50" s="35">
        <v>0</v>
      </c>
      <c r="E50" s="35">
        <v>0</v>
      </c>
      <c r="F50" s="35">
        <v>0</v>
      </c>
      <c r="G50" s="35">
        <v>61</v>
      </c>
      <c r="H50" s="35">
        <v>177</v>
      </c>
      <c r="I50" s="35">
        <v>112</v>
      </c>
      <c r="J50" s="44">
        <v>52</v>
      </c>
      <c r="K50" s="35">
        <v>41</v>
      </c>
      <c r="L50" s="35">
        <v>37</v>
      </c>
      <c r="M50" s="35">
        <v>0</v>
      </c>
      <c r="N50" s="36">
        <v>0</v>
      </c>
      <c r="O50" s="46">
        <f t="shared" si="2"/>
        <v>480</v>
      </c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</row>
    <row r="51" spans="1:39" s="9" customFormat="1" ht="9.75" customHeight="1">
      <c r="A51" s="196"/>
      <c r="B51" s="156" t="s">
        <v>162</v>
      </c>
      <c r="C51" s="34">
        <v>0</v>
      </c>
      <c r="D51" s="35">
        <v>0</v>
      </c>
      <c r="E51" s="35">
        <v>15</v>
      </c>
      <c r="F51" s="35">
        <v>0</v>
      </c>
      <c r="G51" s="35">
        <v>0</v>
      </c>
      <c r="H51" s="35">
        <v>0</v>
      </c>
      <c r="I51" s="35">
        <v>0</v>
      </c>
      <c r="J51" s="44">
        <v>176</v>
      </c>
      <c r="K51" s="35">
        <v>0</v>
      </c>
      <c r="L51" s="35">
        <v>0</v>
      </c>
      <c r="M51" s="35">
        <v>0</v>
      </c>
      <c r="N51" s="36">
        <v>0</v>
      </c>
      <c r="O51" s="46">
        <f t="shared" si="2"/>
        <v>191</v>
      </c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</row>
    <row r="52" spans="1:39" s="9" customFormat="1" ht="9.75" customHeight="1">
      <c r="A52" s="196"/>
      <c r="B52" s="156" t="s">
        <v>163</v>
      </c>
      <c r="C52" s="34">
        <v>0</v>
      </c>
      <c r="D52" s="35">
        <v>0</v>
      </c>
      <c r="E52" s="35">
        <v>0</v>
      </c>
      <c r="F52" s="35">
        <v>3</v>
      </c>
      <c r="G52" s="35">
        <v>4</v>
      </c>
      <c r="H52" s="35">
        <v>0</v>
      </c>
      <c r="I52" s="35">
        <v>13</v>
      </c>
      <c r="J52" s="44">
        <v>0</v>
      </c>
      <c r="K52" s="35">
        <v>0</v>
      </c>
      <c r="L52" s="35">
        <v>0</v>
      </c>
      <c r="M52" s="35">
        <v>2</v>
      </c>
      <c r="N52" s="36">
        <v>0</v>
      </c>
      <c r="O52" s="46">
        <f t="shared" si="2"/>
        <v>22</v>
      </c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</row>
    <row r="53" spans="1:39" s="9" customFormat="1" ht="9.75" customHeight="1">
      <c r="A53" s="196"/>
      <c r="B53" s="156" t="s">
        <v>164</v>
      </c>
      <c r="C53" s="34">
        <v>0</v>
      </c>
      <c r="D53" s="35">
        <v>0</v>
      </c>
      <c r="E53" s="35">
        <v>0</v>
      </c>
      <c r="F53" s="35">
        <v>0</v>
      </c>
      <c r="G53" s="35">
        <v>0</v>
      </c>
      <c r="H53" s="35">
        <v>21</v>
      </c>
      <c r="I53" s="35">
        <v>0</v>
      </c>
      <c r="J53" s="44">
        <v>0</v>
      </c>
      <c r="K53" s="35">
        <v>0</v>
      </c>
      <c r="L53" s="35">
        <v>0</v>
      </c>
      <c r="M53" s="35">
        <v>0</v>
      </c>
      <c r="N53" s="36">
        <v>0</v>
      </c>
      <c r="O53" s="46">
        <f t="shared" si="2"/>
        <v>21</v>
      </c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</row>
    <row r="54" spans="1:39" s="9" customFormat="1" ht="9.75" customHeight="1">
      <c r="A54" s="196"/>
      <c r="B54" s="156" t="s">
        <v>165</v>
      </c>
      <c r="C54" s="34">
        <v>0</v>
      </c>
      <c r="D54" s="35">
        <v>0</v>
      </c>
      <c r="E54" s="35">
        <v>0</v>
      </c>
      <c r="F54" s="35">
        <v>0</v>
      </c>
      <c r="G54" s="35">
        <v>1</v>
      </c>
      <c r="H54" s="35">
        <v>0</v>
      </c>
      <c r="I54" s="35">
        <v>0</v>
      </c>
      <c r="J54" s="44">
        <v>0</v>
      </c>
      <c r="K54" s="35">
        <v>0</v>
      </c>
      <c r="L54" s="35">
        <v>0</v>
      </c>
      <c r="M54" s="35">
        <v>0</v>
      </c>
      <c r="N54" s="36">
        <v>0</v>
      </c>
      <c r="O54" s="46">
        <f t="shared" si="2"/>
        <v>1</v>
      </c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</row>
    <row r="55" spans="1:39" s="9" customFormat="1" ht="9.75" customHeight="1">
      <c r="A55" s="196"/>
      <c r="B55" s="156" t="s">
        <v>166</v>
      </c>
      <c r="C55" s="34">
        <v>0</v>
      </c>
      <c r="D55" s="35">
        <v>0</v>
      </c>
      <c r="E55" s="35">
        <v>0</v>
      </c>
      <c r="F55" s="35">
        <v>0</v>
      </c>
      <c r="G55" s="35">
        <v>4</v>
      </c>
      <c r="H55" s="35">
        <v>32</v>
      </c>
      <c r="I55" s="35">
        <v>11</v>
      </c>
      <c r="J55" s="44">
        <v>0</v>
      </c>
      <c r="K55" s="35">
        <v>0</v>
      </c>
      <c r="L55" s="35">
        <v>0</v>
      </c>
      <c r="M55" s="35">
        <v>0</v>
      </c>
      <c r="N55" s="36">
        <v>0</v>
      </c>
      <c r="O55" s="46">
        <f t="shared" si="2"/>
        <v>47</v>
      </c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</row>
    <row r="56" spans="1:39" s="9" customFormat="1" ht="9.75" customHeight="1">
      <c r="A56" s="196"/>
      <c r="B56" s="156" t="s">
        <v>167</v>
      </c>
      <c r="C56" s="34">
        <v>0</v>
      </c>
      <c r="D56" s="35">
        <v>0</v>
      </c>
      <c r="E56" s="35">
        <v>0</v>
      </c>
      <c r="F56" s="35">
        <v>0</v>
      </c>
      <c r="G56" s="35">
        <v>2</v>
      </c>
      <c r="H56" s="35">
        <v>0</v>
      </c>
      <c r="I56" s="35">
        <v>11</v>
      </c>
      <c r="J56" s="44">
        <v>12</v>
      </c>
      <c r="K56" s="35">
        <v>0</v>
      </c>
      <c r="L56" s="35">
        <v>0</v>
      </c>
      <c r="M56" s="35">
        <v>0</v>
      </c>
      <c r="N56" s="36">
        <v>0</v>
      </c>
      <c r="O56" s="46">
        <f t="shared" si="2"/>
        <v>25</v>
      </c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</row>
    <row r="57" spans="1:39" s="9" customFormat="1" ht="9.75" customHeight="1">
      <c r="A57" s="196"/>
      <c r="B57" s="156" t="s">
        <v>168</v>
      </c>
      <c r="C57" s="34">
        <v>0</v>
      </c>
      <c r="D57" s="35">
        <v>9</v>
      </c>
      <c r="E57" s="35">
        <v>17</v>
      </c>
      <c r="F57" s="35">
        <v>69</v>
      </c>
      <c r="G57" s="35">
        <v>174</v>
      </c>
      <c r="H57" s="35">
        <v>0</v>
      </c>
      <c r="I57" s="35">
        <v>0</v>
      </c>
      <c r="J57" s="44">
        <v>2</v>
      </c>
      <c r="K57" s="35">
        <v>406</v>
      </c>
      <c r="L57" s="35">
        <v>24</v>
      </c>
      <c r="M57" s="35">
        <v>0</v>
      </c>
      <c r="N57" s="36">
        <v>3</v>
      </c>
      <c r="O57" s="46">
        <f t="shared" si="2"/>
        <v>704</v>
      </c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1:39" s="9" customFormat="1" ht="9.75" customHeight="1">
      <c r="A58" s="196"/>
      <c r="B58" s="156" t="s">
        <v>169</v>
      </c>
      <c r="C58" s="34">
        <v>12</v>
      </c>
      <c r="D58" s="35">
        <v>54</v>
      </c>
      <c r="E58" s="35">
        <v>291</v>
      </c>
      <c r="F58" s="35">
        <v>1727</v>
      </c>
      <c r="G58" s="35">
        <v>2175</v>
      </c>
      <c r="H58" s="35">
        <v>0</v>
      </c>
      <c r="I58" s="35">
        <v>0</v>
      </c>
      <c r="J58" s="44">
        <v>2</v>
      </c>
      <c r="K58" s="35">
        <v>1492</v>
      </c>
      <c r="L58" s="35">
        <v>342</v>
      </c>
      <c r="M58" s="35">
        <v>0</v>
      </c>
      <c r="N58" s="36">
        <v>9</v>
      </c>
      <c r="O58" s="46">
        <f t="shared" si="2"/>
        <v>6104</v>
      </c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1:39" s="9" customFormat="1" ht="9.75" customHeight="1">
      <c r="A59" s="196"/>
      <c r="B59" s="156" t="s">
        <v>170</v>
      </c>
      <c r="C59" s="34">
        <v>104</v>
      </c>
      <c r="D59" s="35">
        <v>141</v>
      </c>
      <c r="E59" s="35">
        <v>99</v>
      </c>
      <c r="F59" s="35">
        <v>0</v>
      </c>
      <c r="G59" s="35">
        <v>2</v>
      </c>
      <c r="H59" s="35">
        <v>0</v>
      </c>
      <c r="I59" s="35">
        <v>0</v>
      </c>
      <c r="J59" s="44">
        <v>0</v>
      </c>
      <c r="K59" s="35">
        <v>0</v>
      </c>
      <c r="L59" s="35">
        <v>0</v>
      </c>
      <c r="M59" s="35">
        <v>15</v>
      </c>
      <c r="N59" s="36">
        <v>55</v>
      </c>
      <c r="O59" s="46">
        <f t="shared" si="2"/>
        <v>416</v>
      </c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1:39" s="9" customFormat="1" ht="9.75" customHeight="1">
      <c r="A60" s="196"/>
      <c r="B60" s="157" t="s">
        <v>221</v>
      </c>
      <c r="C60" s="57">
        <v>14</v>
      </c>
      <c r="D60" s="37">
        <v>11</v>
      </c>
      <c r="E60" s="37">
        <v>8</v>
      </c>
      <c r="F60" s="37">
        <v>0</v>
      </c>
      <c r="G60" s="37">
        <v>0</v>
      </c>
      <c r="H60" s="37">
        <v>0</v>
      </c>
      <c r="I60" s="37">
        <v>0</v>
      </c>
      <c r="J60" s="44">
        <v>0</v>
      </c>
      <c r="K60" s="37">
        <v>97</v>
      </c>
      <c r="L60" s="37">
        <v>556</v>
      </c>
      <c r="M60" s="37">
        <v>372</v>
      </c>
      <c r="N60" s="38">
        <v>51</v>
      </c>
      <c r="O60" s="46">
        <f t="shared" si="2"/>
        <v>1109</v>
      </c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  <row r="61" spans="1:39" s="9" customFormat="1" ht="9.75" customHeight="1">
      <c r="A61" s="196"/>
      <c r="B61" s="158" t="s">
        <v>176</v>
      </c>
      <c r="C61" s="57">
        <v>5</v>
      </c>
      <c r="D61" s="37">
        <v>0</v>
      </c>
      <c r="E61" s="37">
        <v>0</v>
      </c>
      <c r="F61" s="37">
        <v>0</v>
      </c>
      <c r="G61" s="37">
        <v>0</v>
      </c>
      <c r="H61" s="37">
        <v>0</v>
      </c>
      <c r="I61" s="37">
        <v>0</v>
      </c>
      <c r="J61" s="44">
        <v>399</v>
      </c>
      <c r="K61" s="37">
        <v>412</v>
      </c>
      <c r="L61" s="37">
        <v>525</v>
      </c>
      <c r="M61" s="37">
        <v>274</v>
      </c>
      <c r="N61" s="38">
        <v>0</v>
      </c>
      <c r="O61" s="46">
        <f t="shared" si="2"/>
        <v>1615</v>
      </c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</row>
    <row r="62" spans="1:39" s="9" customFormat="1" ht="9.75" customHeight="1">
      <c r="A62" s="196"/>
      <c r="B62" s="158" t="s">
        <v>177</v>
      </c>
      <c r="C62" s="57">
        <v>61</v>
      </c>
      <c r="D62" s="37">
        <v>27</v>
      </c>
      <c r="E62" s="37">
        <v>28</v>
      </c>
      <c r="F62" s="37">
        <v>21</v>
      </c>
      <c r="G62" s="37">
        <v>42</v>
      </c>
      <c r="H62" s="37">
        <v>23</v>
      </c>
      <c r="I62" s="37">
        <v>18</v>
      </c>
      <c r="J62" s="44">
        <v>96</v>
      </c>
      <c r="K62" s="37">
        <v>17</v>
      </c>
      <c r="L62" s="37">
        <v>32</v>
      </c>
      <c r="M62" s="37">
        <v>35</v>
      </c>
      <c r="N62" s="38">
        <v>26</v>
      </c>
      <c r="O62" s="46">
        <f t="shared" si="2"/>
        <v>426</v>
      </c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</row>
    <row r="63" spans="1:39" s="9" customFormat="1" ht="9.75" customHeight="1">
      <c r="A63" s="196"/>
      <c r="B63" s="158" t="s">
        <v>178</v>
      </c>
      <c r="C63" s="57">
        <v>14</v>
      </c>
      <c r="D63" s="37">
        <v>18</v>
      </c>
      <c r="E63" s="37">
        <v>18</v>
      </c>
      <c r="F63" s="37">
        <v>28</v>
      </c>
      <c r="G63" s="37">
        <v>30</v>
      </c>
      <c r="H63" s="37">
        <v>15</v>
      </c>
      <c r="I63" s="37">
        <v>19</v>
      </c>
      <c r="J63" s="44">
        <v>32</v>
      </c>
      <c r="K63" s="37">
        <v>27</v>
      </c>
      <c r="L63" s="37">
        <v>41</v>
      </c>
      <c r="M63" s="37">
        <v>30</v>
      </c>
      <c r="N63" s="38">
        <v>19</v>
      </c>
      <c r="O63" s="46">
        <f t="shared" si="2"/>
        <v>291</v>
      </c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</row>
    <row r="64" spans="1:39" s="9" customFormat="1" ht="9.75" customHeight="1">
      <c r="A64" s="196"/>
      <c r="B64" s="158" t="s">
        <v>179</v>
      </c>
      <c r="C64" s="57">
        <v>23</v>
      </c>
      <c r="D64" s="37">
        <v>42</v>
      </c>
      <c r="E64" s="37">
        <v>29</v>
      </c>
      <c r="F64" s="37">
        <v>3</v>
      </c>
      <c r="G64" s="37">
        <v>47</v>
      </c>
      <c r="H64" s="37">
        <v>2</v>
      </c>
      <c r="I64" s="37">
        <v>2</v>
      </c>
      <c r="J64" s="44">
        <v>13</v>
      </c>
      <c r="K64" s="37">
        <v>0</v>
      </c>
      <c r="L64" s="37">
        <v>23</v>
      </c>
      <c r="M64" s="37">
        <v>0</v>
      </c>
      <c r="N64" s="38">
        <v>0</v>
      </c>
      <c r="O64" s="46">
        <f t="shared" si="2"/>
        <v>184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</row>
    <row r="65" spans="1:39" s="9" customFormat="1" ht="9.75" customHeight="1">
      <c r="A65" s="196"/>
      <c r="B65" s="158" t="s">
        <v>171</v>
      </c>
      <c r="C65" s="57">
        <v>0</v>
      </c>
      <c r="D65" s="37">
        <v>0</v>
      </c>
      <c r="E65" s="37">
        <v>0</v>
      </c>
      <c r="F65" s="37">
        <v>0</v>
      </c>
      <c r="G65" s="37">
        <v>0</v>
      </c>
      <c r="H65" s="37">
        <v>0</v>
      </c>
      <c r="I65" s="37">
        <v>3</v>
      </c>
      <c r="J65" s="44">
        <v>20</v>
      </c>
      <c r="K65" s="37">
        <v>0</v>
      </c>
      <c r="L65" s="37">
        <v>0</v>
      </c>
      <c r="M65" s="37">
        <v>0</v>
      </c>
      <c r="N65" s="38">
        <v>0</v>
      </c>
      <c r="O65" s="46">
        <f t="shared" si="2"/>
        <v>23</v>
      </c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</row>
    <row r="66" spans="1:39" s="9" customFormat="1" ht="9.75" customHeight="1">
      <c r="A66" s="196"/>
      <c r="B66" s="158" t="s">
        <v>180</v>
      </c>
      <c r="C66" s="57">
        <v>0</v>
      </c>
      <c r="D66" s="37">
        <v>0</v>
      </c>
      <c r="E66" s="37">
        <v>1</v>
      </c>
      <c r="F66" s="37">
        <v>0</v>
      </c>
      <c r="G66" s="37">
        <v>0</v>
      </c>
      <c r="H66" s="37">
        <v>0</v>
      </c>
      <c r="I66" s="37">
        <v>0</v>
      </c>
      <c r="J66" s="44">
        <v>0</v>
      </c>
      <c r="K66" s="37">
        <v>0</v>
      </c>
      <c r="L66" s="37">
        <v>5</v>
      </c>
      <c r="M66" s="37">
        <v>7</v>
      </c>
      <c r="N66" s="38">
        <v>10</v>
      </c>
      <c r="O66" s="46">
        <f t="shared" si="2"/>
        <v>23</v>
      </c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</row>
    <row r="67" spans="1:39" s="9" customFormat="1" ht="9.75" customHeight="1">
      <c r="A67" s="196"/>
      <c r="B67" s="158" t="s">
        <v>160</v>
      </c>
      <c r="C67" s="57">
        <v>0</v>
      </c>
      <c r="D67" s="37">
        <v>0</v>
      </c>
      <c r="E67" s="37">
        <v>0</v>
      </c>
      <c r="F67" s="37">
        <v>0</v>
      </c>
      <c r="G67" s="37">
        <v>0</v>
      </c>
      <c r="H67" s="37">
        <v>0</v>
      </c>
      <c r="I67" s="37">
        <v>9</v>
      </c>
      <c r="J67" s="44">
        <v>34</v>
      </c>
      <c r="K67" s="37">
        <v>1</v>
      </c>
      <c r="L67" s="37">
        <v>0</v>
      </c>
      <c r="M67" s="37">
        <v>0</v>
      </c>
      <c r="N67" s="38">
        <v>0</v>
      </c>
      <c r="O67" s="46">
        <f t="shared" si="2"/>
        <v>44</v>
      </c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</row>
    <row r="68" spans="1:39" s="9" customFormat="1" ht="9.75" customHeight="1">
      <c r="A68" s="196"/>
      <c r="B68" s="158" t="s">
        <v>181</v>
      </c>
      <c r="C68" s="57">
        <v>0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44">
        <v>488</v>
      </c>
      <c r="K68" s="37">
        <v>404</v>
      </c>
      <c r="L68" s="37">
        <v>140</v>
      </c>
      <c r="M68" s="37">
        <v>13</v>
      </c>
      <c r="N68" s="38">
        <v>0</v>
      </c>
      <c r="O68" s="46">
        <f t="shared" si="2"/>
        <v>1045</v>
      </c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</row>
    <row r="69" spans="1:39" s="9" customFormat="1" ht="9.75" customHeight="1" thickBot="1">
      <c r="A69" s="196"/>
      <c r="B69" s="158" t="s">
        <v>173</v>
      </c>
      <c r="C69" s="57">
        <v>13</v>
      </c>
      <c r="D69" s="37">
        <v>24</v>
      </c>
      <c r="E69" s="37">
        <v>31</v>
      </c>
      <c r="F69" s="37">
        <v>15</v>
      </c>
      <c r="G69" s="37">
        <v>27</v>
      </c>
      <c r="H69" s="37">
        <v>12</v>
      </c>
      <c r="I69" s="37">
        <v>18</v>
      </c>
      <c r="J69" s="44">
        <v>15</v>
      </c>
      <c r="K69" s="37">
        <v>12</v>
      </c>
      <c r="L69" s="37">
        <v>17</v>
      </c>
      <c r="M69" s="37">
        <v>11</v>
      </c>
      <c r="N69" s="38">
        <v>21</v>
      </c>
      <c r="O69" s="46">
        <f t="shared" si="2"/>
        <v>216</v>
      </c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</row>
    <row r="70" spans="1:39" s="9" customFormat="1" ht="9.75" customHeight="1" thickBot="1">
      <c r="A70" s="199"/>
      <c r="B70" s="159" t="s">
        <v>174</v>
      </c>
      <c r="C70" s="84">
        <f aca="true" t="shared" si="3" ref="C70:N70">SUM(C40:C69)</f>
        <v>330</v>
      </c>
      <c r="D70" s="84">
        <f t="shared" si="3"/>
        <v>433</v>
      </c>
      <c r="E70" s="84">
        <f t="shared" si="3"/>
        <v>716</v>
      </c>
      <c r="F70" s="84">
        <f t="shared" si="3"/>
        <v>2035</v>
      </c>
      <c r="G70" s="84">
        <f t="shared" si="3"/>
        <v>2652</v>
      </c>
      <c r="H70" s="84">
        <f t="shared" si="3"/>
        <v>377</v>
      </c>
      <c r="I70" s="84">
        <f t="shared" si="3"/>
        <v>242</v>
      </c>
      <c r="J70" s="84">
        <f t="shared" si="3"/>
        <v>1809</v>
      </c>
      <c r="K70" s="84">
        <f t="shared" si="3"/>
        <v>4056</v>
      </c>
      <c r="L70" s="84">
        <f t="shared" si="3"/>
        <v>2001</v>
      </c>
      <c r="M70" s="84">
        <f t="shared" si="3"/>
        <v>850</v>
      </c>
      <c r="N70" s="42">
        <f t="shared" si="3"/>
        <v>224</v>
      </c>
      <c r="O70" s="85">
        <f>SUM(C70:N70)</f>
        <v>15725</v>
      </c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</row>
    <row r="71" spans="1:39" s="9" customFormat="1" ht="12.75">
      <c r="A71" s="14"/>
      <c r="B71" s="11"/>
      <c r="C71" s="80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</row>
    <row r="72" spans="1:39" s="9" customFormat="1" ht="12.75">
      <c r="A72" s="14"/>
      <c r="B72" s="11"/>
      <c r="C72" s="80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</row>
    <row r="73" spans="1:39" s="9" customFormat="1" ht="12.75">
      <c r="A73" s="14"/>
      <c r="B73" s="11"/>
      <c r="C73" s="80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</row>
    <row r="74" spans="1:39" s="9" customFormat="1" ht="12.75">
      <c r="A74" s="14"/>
      <c r="B74" s="11"/>
      <c r="C74" s="80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</row>
    <row r="75" spans="1:39" s="9" customFormat="1" ht="12.75">
      <c r="A75" s="14"/>
      <c r="B75" s="11"/>
      <c r="C75" s="80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</row>
    <row r="76" spans="1:39" s="9" customFormat="1" ht="12.75">
      <c r="A76" s="14"/>
      <c r="B76" s="11"/>
      <c r="C76" s="80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</row>
    <row r="77" spans="1:39" s="9" customFormat="1" ht="12.75">
      <c r="A77" s="14"/>
      <c r="B77" s="11"/>
      <c r="C77" s="80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</row>
    <row r="78" spans="1:39" s="9" customFormat="1" ht="12.75">
      <c r="A78" s="14"/>
      <c r="B78" s="11"/>
      <c r="C78" s="80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</row>
    <row r="79" spans="1:39" s="9" customFormat="1" ht="12.75">
      <c r="A79" s="14"/>
      <c r="B79" s="11"/>
      <c r="C79" s="80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</row>
    <row r="80" spans="1:39" s="9" customFormat="1" ht="12.75">
      <c r="A80" s="14"/>
      <c r="B80" s="11"/>
      <c r="C80" s="80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</row>
    <row r="81" spans="1:39" s="9" customFormat="1" ht="12.75">
      <c r="A81" s="14"/>
      <c r="B81" s="11"/>
      <c r="C81" s="80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</row>
    <row r="82" spans="1:39" s="9" customFormat="1" ht="12.75">
      <c r="A82" s="14"/>
      <c r="B82" s="11"/>
      <c r="C82" s="80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</row>
    <row r="83" spans="1:39" s="9" customFormat="1" ht="12.75">
      <c r="A83" s="14"/>
      <c r="B83" s="11"/>
      <c r="C83" s="80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</row>
    <row r="84" spans="1:39" s="9" customFormat="1" ht="12.75">
      <c r="A84" s="14"/>
      <c r="B84" s="11"/>
      <c r="C84" s="80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</row>
    <row r="85" spans="1:39" s="9" customFormat="1" ht="12.75">
      <c r="A85" s="14"/>
      <c r="B85" s="11"/>
      <c r="C85" s="80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</row>
    <row r="86" spans="1:39" s="9" customFormat="1" ht="12.75">
      <c r="A86" s="14"/>
      <c r="B86" s="11"/>
      <c r="C86" s="80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</row>
    <row r="87" spans="1:39" s="9" customFormat="1" ht="12.75">
      <c r="A87" s="14"/>
      <c r="B87" s="11"/>
      <c r="C87" s="80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</row>
    <row r="88" spans="1:39" s="9" customFormat="1" ht="12.75">
      <c r="A88" s="14"/>
      <c r="B88" s="11"/>
      <c r="C88" s="80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</row>
    <row r="89" spans="1:39" s="9" customFormat="1" ht="12.75">
      <c r="A89" s="14"/>
      <c r="B89" s="11"/>
      <c r="C89" s="80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</row>
    <row r="90" spans="1:39" s="9" customFormat="1" ht="12.75">
      <c r="A90" s="14"/>
      <c r="B90" s="11"/>
      <c r="C90" s="80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</row>
    <row r="91" spans="1:39" s="9" customFormat="1" ht="12.75">
      <c r="A91" s="14"/>
      <c r="B91" s="11"/>
      <c r="C91" s="80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</row>
    <row r="92" spans="1:39" s="9" customFormat="1" ht="12.75">
      <c r="A92" s="14"/>
      <c r="B92" s="11"/>
      <c r="C92" s="80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</row>
    <row r="93" spans="1:39" s="9" customFormat="1" ht="12.75">
      <c r="A93" s="14"/>
      <c r="B93" s="11"/>
      <c r="C93" s="80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</row>
    <row r="94" spans="1:39" s="9" customFormat="1" ht="12.75">
      <c r="A94" s="14"/>
      <c r="B94" s="11"/>
      <c r="C94" s="80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</row>
    <row r="95" spans="1:39" s="9" customFormat="1" ht="12.75">
      <c r="A95" s="14"/>
      <c r="B95" s="11"/>
      <c r="C95" s="80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</row>
    <row r="96" spans="1:39" s="9" customFormat="1" ht="12.75">
      <c r="A96" s="14"/>
      <c r="B96" s="11"/>
      <c r="C96" s="80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</row>
    <row r="97" spans="1:39" s="9" customFormat="1" ht="12.75">
      <c r="A97" s="14"/>
      <c r="B97" s="11"/>
      <c r="C97" s="80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</row>
    <row r="98" spans="1:39" s="9" customFormat="1" ht="12.75">
      <c r="A98" s="14"/>
      <c r="B98" s="11"/>
      <c r="C98" s="80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</row>
    <row r="99" spans="1:39" s="9" customFormat="1" ht="12.75">
      <c r="A99" s="14"/>
      <c r="B99" s="11"/>
      <c r="C99" s="80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</row>
    <row r="100" spans="1:39" s="9" customFormat="1" ht="12.75">
      <c r="A100" s="14"/>
      <c r="B100" s="11"/>
      <c r="C100" s="80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</row>
    <row r="101" spans="1:39" s="9" customFormat="1" ht="12.75">
      <c r="A101" s="14"/>
      <c r="B101" s="11"/>
      <c r="C101" s="80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</row>
    <row r="102" spans="1:39" s="9" customFormat="1" ht="12.75">
      <c r="A102" s="14"/>
      <c r="B102" s="11"/>
      <c r="C102" s="80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</row>
    <row r="103" spans="1:39" s="9" customFormat="1" ht="12.75">
      <c r="A103" s="14"/>
      <c r="B103" s="11"/>
      <c r="C103" s="80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</row>
    <row r="104" spans="1:39" s="9" customFormat="1" ht="12.75">
      <c r="A104" s="14"/>
      <c r="B104" s="11"/>
      <c r="C104" s="80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</row>
    <row r="105" spans="1:39" s="9" customFormat="1" ht="12.75">
      <c r="A105" s="14"/>
      <c r="B105" s="11"/>
      <c r="C105" s="80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</row>
    <row r="106" spans="1:39" s="9" customFormat="1" ht="12.75">
      <c r="A106" s="14"/>
      <c r="B106" s="11"/>
      <c r="C106" s="80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</row>
    <row r="107" spans="1:39" s="9" customFormat="1" ht="12.75">
      <c r="A107" s="14"/>
      <c r="B107" s="11"/>
      <c r="C107" s="80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</row>
    <row r="108" spans="1:39" s="9" customFormat="1" ht="12.75">
      <c r="A108" s="14"/>
      <c r="B108" s="11"/>
      <c r="C108" s="80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</row>
    <row r="109" spans="1:39" s="9" customFormat="1" ht="12.75">
      <c r="A109" s="14"/>
      <c r="B109" s="11"/>
      <c r="C109" s="80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</row>
    <row r="110" spans="1:39" s="9" customFormat="1" ht="12.75">
      <c r="A110" s="14"/>
      <c r="B110" s="11"/>
      <c r="C110" s="80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</row>
    <row r="111" spans="1:39" s="9" customFormat="1" ht="12.75">
      <c r="A111" s="14"/>
      <c r="B111" s="11"/>
      <c r="C111" s="80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</row>
    <row r="112" spans="1:39" s="9" customFormat="1" ht="12.75">
      <c r="A112" s="14"/>
      <c r="B112" s="11"/>
      <c r="C112" s="80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</row>
    <row r="113" spans="1:39" s="9" customFormat="1" ht="12.75">
      <c r="A113" s="14"/>
      <c r="B113" s="11"/>
      <c r="C113" s="80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</row>
    <row r="114" spans="1:39" s="9" customFormat="1" ht="12.75">
      <c r="A114" s="14"/>
      <c r="B114" s="11"/>
      <c r="C114" s="80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</row>
    <row r="115" spans="1:39" s="9" customFormat="1" ht="12.75">
      <c r="A115" s="14"/>
      <c r="B115" s="11"/>
      <c r="C115" s="80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</row>
    <row r="116" spans="1:39" s="9" customFormat="1" ht="12.75">
      <c r="A116" s="14"/>
      <c r="B116" s="11"/>
      <c r="C116" s="80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</row>
    <row r="117" spans="1:39" s="9" customFormat="1" ht="12.75">
      <c r="A117" s="14"/>
      <c r="B117" s="11"/>
      <c r="C117" s="80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</row>
    <row r="118" spans="1:39" s="9" customFormat="1" ht="12.75">
      <c r="A118" s="14"/>
      <c r="B118" s="11"/>
      <c r="C118" s="80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</row>
    <row r="119" spans="1:39" s="9" customFormat="1" ht="12.75">
      <c r="A119" s="14"/>
      <c r="B119" s="11"/>
      <c r="C119" s="80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</row>
    <row r="120" spans="1:39" s="9" customFormat="1" ht="12.75">
      <c r="A120" s="14"/>
      <c r="B120" s="11"/>
      <c r="C120" s="80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</row>
    <row r="121" spans="1:39" s="9" customFormat="1" ht="12.75">
      <c r="A121" s="14"/>
      <c r="B121" s="11"/>
      <c r="C121" s="80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</row>
    <row r="122" spans="1:39" s="9" customFormat="1" ht="12.75">
      <c r="A122" s="14"/>
      <c r="B122" s="11"/>
      <c r="C122" s="80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</row>
    <row r="123" spans="1:39" s="9" customFormat="1" ht="12.75">
      <c r="A123" s="14"/>
      <c r="B123" s="11"/>
      <c r="C123" s="80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</row>
    <row r="124" spans="1:39" s="9" customFormat="1" ht="12.75">
      <c r="A124" s="14"/>
      <c r="B124" s="11"/>
      <c r="C124" s="80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</row>
    <row r="125" spans="1:39" s="9" customFormat="1" ht="12.75">
      <c r="A125" s="14"/>
      <c r="B125" s="11"/>
      <c r="C125" s="80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</row>
    <row r="126" spans="1:39" s="9" customFormat="1" ht="12.75">
      <c r="A126" s="14"/>
      <c r="B126" s="11"/>
      <c r="C126" s="80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</row>
    <row r="127" spans="1:39" s="9" customFormat="1" ht="12.75">
      <c r="A127" s="14"/>
      <c r="B127" s="11"/>
      <c r="C127" s="80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</row>
    <row r="128" spans="1:39" s="9" customFormat="1" ht="12.75">
      <c r="A128" s="14"/>
      <c r="B128" s="11"/>
      <c r="C128" s="80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</row>
    <row r="129" spans="1:39" s="9" customFormat="1" ht="12.75">
      <c r="A129" s="14"/>
      <c r="B129" s="11"/>
      <c r="C129" s="80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</row>
    <row r="130" spans="1:39" s="9" customFormat="1" ht="12.75">
      <c r="A130" s="14"/>
      <c r="B130" s="11"/>
      <c r="C130" s="80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</row>
    <row r="131" spans="1:39" s="9" customFormat="1" ht="12.75">
      <c r="A131" s="14"/>
      <c r="B131" s="11"/>
      <c r="C131" s="80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</row>
    <row r="132" spans="1:39" s="9" customFormat="1" ht="12.75">
      <c r="A132" s="14"/>
      <c r="B132" s="11"/>
      <c r="C132" s="80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</row>
    <row r="133" spans="1:39" s="9" customFormat="1" ht="12.75">
      <c r="A133" s="14"/>
      <c r="B133" s="11"/>
      <c r="C133" s="80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</row>
    <row r="134" spans="1:39" s="9" customFormat="1" ht="12.75">
      <c r="A134" s="14"/>
      <c r="B134" s="11"/>
      <c r="C134" s="80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</row>
    <row r="135" spans="1:39" s="9" customFormat="1" ht="12.75">
      <c r="A135" s="14"/>
      <c r="B135" s="11"/>
      <c r="C135" s="80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</row>
    <row r="136" spans="1:39" s="9" customFormat="1" ht="12.75">
      <c r="A136" s="14"/>
      <c r="B136" s="11"/>
      <c r="C136" s="80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</row>
    <row r="137" spans="1:39" s="9" customFormat="1" ht="12.75">
      <c r="A137" s="14"/>
      <c r="B137" s="11"/>
      <c r="C137" s="80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</row>
    <row r="138" spans="1:39" s="9" customFormat="1" ht="12.75">
      <c r="A138" s="14"/>
      <c r="B138" s="11"/>
      <c r="C138" s="80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</row>
    <row r="139" spans="1:39" s="9" customFormat="1" ht="12.75">
      <c r="A139" s="14"/>
      <c r="B139" s="11"/>
      <c r="C139" s="80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</row>
    <row r="140" spans="1:39" s="9" customFormat="1" ht="12.75">
      <c r="A140" s="14"/>
      <c r="B140" s="11"/>
      <c r="C140" s="80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</row>
    <row r="141" spans="1:39" s="9" customFormat="1" ht="12.75">
      <c r="A141" s="14"/>
      <c r="B141" s="11"/>
      <c r="C141" s="80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</row>
    <row r="142" spans="1:39" s="9" customFormat="1" ht="12.75">
      <c r="A142" s="14"/>
      <c r="B142" s="11"/>
      <c r="C142" s="80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</row>
    <row r="143" spans="1:39" s="9" customFormat="1" ht="12.75">
      <c r="A143" s="14"/>
      <c r="B143" s="11"/>
      <c r="C143" s="80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</row>
    <row r="144" spans="1:39" s="9" customFormat="1" ht="12.75">
      <c r="A144" s="14"/>
      <c r="B144" s="11"/>
      <c r="C144" s="80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</row>
    <row r="145" spans="1:39" s="9" customFormat="1" ht="12.75">
      <c r="A145" s="14"/>
      <c r="B145" s="11"/>
      <c r="C145" s="80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</row>
    <row r="146" spans="1:39" s="9" customFormat="1" ht="12.75">
      <c r="A146" s="14"/>
      <c r="B146" s="11"/>
      <c r="C146" s="80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</row>
    <row r="147" spans="1:39" s="9" customFormat="1" ht="12.75">
      <c r="A147" s="14"/>
      <c r="B147" s="11"/>
      <c r="C147" s="80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</row>
    <row r="148" spans="1:39" s="9" customFormat="1" ht="12.75">
      <c r="A148" s="14"/>
      <c r="B148" s="11"/>
      <c r="C148" s="80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</row>
    <row r="149" spans="1:39" s="9" customFormat="1" ht="12.75">
      <c r="A149" s="14"/>
      <c r="B149" s="11"/>
      <c r="C149" s="80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</row>
    <row r="150" spans="1:39" s="9" customFormat="1" ht="12.75">
      <c r="A150" s="14"/>
      <c r="B150" s="11"/>
      <c r="C150" s="80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</row>
    <row r="151" spans="1:39" s="9" customFormat="1" ht="12.75">
      <c r="A151" s="14"/>
      <c r="B151" s="11"/>
      <c r="C151" s="80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</row>
    <row r="152" spans="1:39" s="9" customFormat="1" ht="12.75">
      <c r="A152" s="14"/>
      <c r="B152" s="11"/>
      <c r="C152" s="80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</row>
    <row r="153" spans="1:39" s="9" customFormat="1" ht="12.75">
      <c r="A153" s="14"/>
      <c r="B153" s="11"/>
      <c r="C153" s="80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</row>
    <row r="154" spans="1:39" s="9" customFormat="1" ht="12.75">
      <c r="A154" s="14"/>
      <c r="B154" s="11"/>
      <c r="C154" s="80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</row>
    <row r="155" spans="1:39" s="9" customFormat="1" ht="12.75">
      <c r="A155" s="14"/>
      <c r="B155" s="11"/>
      <c r="C155" s="80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</row>
    <row r="156" spans="1:39" s="9" customFormat="1" ht="12.75">
      <c r="A156" s="14"/>
      <c r="B156" s="11"/>
      <c r="C156" s="80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</row>
    <row r="157" spans="1:39" s="9" customFormat="1" ht="12.75">
      <c r="A157" s="14"/>
      <c r="B157" s="11"/>
      <c r="C157" s="80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</row>
    <row r="158" spans="1:39" s="9" customFormat="1" ht="12.75">
      <c r="A158" s="14"/>
      <c r="B158" s="11"/>
      <c r="C158" s="80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</row>
    <row r="159" spans="1:39" s="9" customFormat="1" ht="12.75">
      <c r="A159" s="14"/>
      <c r="B159" s="11"/>
      <c r="C159" s="80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</row>
    <row r="160" spans="1:39" s="9" customFormat="1" ht="12.75">
      <c r="A160" s="14"/>
      <c r="B160" s="11"/>
      <c r="C160" s="80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</row>
    <row r="161" spans="1:39" s="9" customFormat="1" ht="12.75">
      <c r="A161" s="14"/>
      <c r="B161" s="11"/>
      <c r="C161" s="80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</row>
    <row r="162" spans="1:39" s="9" customFormat="1" ht="12.75">
      <c r="A162" s="14"/>
      <c r="B162" s="11"/>
      <c r="C162" s="80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</row>
    <row r="163" spans="1:39" s="9" customFormat="1" ht="12.75">
      <c r="A163" s="14"/>
      <c r="B163" s="11"/>
      <c r="C163" s="80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</row>
    <row r="164" spans="1:39" s="9" customFormat="1" ht="12.75">
      <c r="A164" s="14"/>
      <c r="B164" s="11"/>
      <c r="C164" s="80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</row>
    <row r="165" spans="1:39" s="9" customFormat="1" ht="12.75">
      <c r="A165" s="14"/>
      <c r="B165" s="11"/>
      <c r="C165" s="80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</row>
    <row r="166" spans="1:39" s="9" customFormat="1" ht="12.75">
      <c r="A166" s="14"/>
      <c r="B166" s="11"/>
      <c r="C166" s="80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</row>
    <row r="167" spans="1:39" s="9" customFormat="1" ht="12.75">
      <c r="A167" s="14"/>
      <c r="B167" s="11"/>
      <c r="C167" s="80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</row>
    <row r="168" spans="1:39" s="9" customFormat="1" ht="12.75">
      <c r="A168" s="14"/>
      <c r="B168" s="11"/>
      <c r="C168" s="80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</row>
    <row r="169" spans="1:39" s="9" customFormat="1" ht="12.75">
      <c r="A169" s="14"/>
      <c r="B169" s="11"/>
      <c r="C169" s="80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</row>
    <row r="170" spans="1:39" s="9" customFormat="1" ht="12.75">
      <c r="A170" s="14"/>
      <c r="B170" s="11"/>
      <c r="C170" s="80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</row>
    <row r="171" spans="1:39" s="9" customFormat="1" ht="12.75">
      <c r="A171" s="14"/>
      <c r="B171" s="11"/>
      <c r="C171" s="80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</row>
    <row r="172" spans="1:39" s="9" customFormat="1" ht="12.75">
      <c r="A172" s="14"/>
      <c r="B172" s="11"/>
      <c r="C172" s="80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</row>
    <row r="173" spans="1:39" s="9" customFormat="1" ht="12.75">
      <c r="A173" s="14"/>
      <c r="B173" s="11"/>
      <c r="C173" s="80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</row>
    <row r="174" spans="1:39" s="9" customFormat="1" ht="12.75">
      <c r="A174" s="14"/>
      <c r="B174" s="11"/>
      <c r="C174" s="80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</row>
    <row r="175" spans="1:39" s="9" customFormat="1" ht="12.75">
      <c r="A175" s="14"/>
      <c r="B175" s="11"/>
      <c r="C175" s="80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</row>
    <row r="176" spans="1:39" s="9" customFormat="1" ht="12.75">
      <c r="A176" s="14"/>
      <c r="B176" s="11"/>
      <c r="C176" s="80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</row>
    <row r="177" spans="1:39" s="9" customFormat="1" ht="12.75">
      <c r="A177" s="14"/>
      <c r="B177" s="11"/>
      <c r="C177" s="80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</row>
    <row r="178" spans="1:39" s="9" customFormat="1" ht="12.75">
      <c r="A178" s="14"/>
      <c r="B178" s="11"/>
      <c r="C178" s="80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</row>
    <row r="179" spans="1:39" s="9" customFormat="1" ht="12.75">
      <c r="A179" s="14"/>
      <c r="B179" s="11"/>
      <c r="C179" s="80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</row>
    <row r="180" spans="1:39" s="9" customFormat="1" ht="12.75">
      <c r="A180" s="14"/>
      <c r="B180" s="11"/>
      <c r="C180" s="80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</row>
    <row r="181" spans="1:39" s="9" customFormat="1" ht="12.75">
      <c r="A181" s="14"/>
      <c r="B181" s="11"/>
      <c r="C181" s="80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</row>
    <row r="182" spans="1:39" s="9" customFormat="1" ht="12.75">
      <c r="A182" s="14"/>
      <c r="B182" s="11"/>
      <c r="C182" s="80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</row>
    <row r="183" spans="1:39" s="9" customFormat="1" ht="12.75">
      <c r="A183" s="14"/>
      <c r="B183" s="11"/>
      <c r="C183" s="80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</row>
    <row r="184" spans="1:39" s="9" customFormat="1" ht="12.75">
      <c r="A184" s="14"/>
      <c r="B184" s="11"/>
      <c r="C184" s="80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</row>
    <row r="185" spans="1:39" s="9" customFormat="1" ht="12.75">
      <c r="A185" s="14"/>
      <c r="B185" s="11"/>
      <c r="C185" s="80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</row>
    <row r="186" spans="1:39" s="9" customFormat="1" ht="12.75">
      <c r="A186" s="14"/>
      <c r="B186" s="11"/>
      <c r="C186" s="80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</row>
    <row r="187" spans="1:39" s="9" customFormat="1" ht="12.75">
      <c r="A187" s="14"/>
      <c r="B187" s="11"/>
      <c r="C187" s="80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</row>
    <row r="188" spans="1:39" s="9" customFormat="1" ht="12.75">
      <c r="A188" s="14"/>
      <c r="B188" s="11"/>
      <c r="C188" s="80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</row>
    <row r="189" spans="1:39" s="9" customFormat="1" ht="12.75">
      <c r="A189" s="14"/>
      <c r="B189" s="11"/>
      <c r="C189" s="80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</row>
    <row r="190" spans="1:39" s="9" customFormat="1" ht="12.75">
      <c r="A190" s="14"/>
      <c r="B190" s="11"/>
      <c r="C190" s="80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</row>
    <row r="191" spans="1:39" s="9" customFormat="1" ht="12.75">
      <c r="A191" s="14"/>
      <c r="B191" s="11"/>
      <c r="C191" s="80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</row>
    <row r="192" spans="1:39" s="9" customFormat="1" ht="12.75">
      <c r="A192" s="14"/>
      <c r="B192" s="11"/>
      <c r="C192" s="80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</row>
    <row r="193" spans="1:39" s="9" customFormat="1" ht="12.75">
      <c r="A193" s="14"/>
      <c r="B193" s="11"/>
      <c r="C193" s="80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</row>
    <row r="194" spans="1:39" s="9" customFormat="1" ht="12.75">
      <c r="A194" s="14"/>
      <c r="B194" s="11"/>
      <c r="C194" s="80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</row>
    <row r="195" spans="1:39" s="9" customFormat="1" ht="12.75">
      <c r="A195" s="14"/>
      <c r="B195" s="11"/>
      <c r="C195" s="80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</row>
    <row r="196" spans="1:39" s="9" customFormat="1" ht="12.75">
      <c r="A196" s="14"/>
      <c r="B196" s="11"/>
      <c r="C196" s="80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</row>
    <row r="197" spans="1:39" s="9" customFormat="1" ht="12.75">
      <c r="A197" s="14"/>
      <c r="B197" s="11"/>
      <c r="C197" s="80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</row>
    <row r="198" spans="1:39" s="9" customFormat="1" ht="12.75">
      <c r="A198" s="14"/>
      <c r="B198" s="11"/>
      <c r="C198" s="80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</row>
    <row r="199" spans="1:39" s="9" customFormat="1" ht="12.75">
      <c r="A199" s="14"/>
      <c r="B199" s="11"/>
      <c r="C199" s="80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</row>
    <row r="200" spans="1:39" s="9" customFormat="1" ht="12.75">
      <c r="A200" s="14"/>
      <c r="B200" s="11"/>
      <c r="C200" s="80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</row>
    <row r="201" spans="1:39" s="9" customFormat="1" ht="12.75">
      <c r="A201" s="14"/>
      <c r="B201" s="11"/>
      <c r="C201" s="80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</row>
    <row r="202" spans="1:39" s="9" customFormat="1" ht="12.75">
      <c r="A202" s="14"/>
      <c r="B202" s="11"/>
      <c r="C202" s="80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</row>
    <row r="203" spans="1:39" s="9" customFormat="1" ht="12.75">
      <c r="A203" s="14"/>
      <c r="B203" s="11"/>
      <c r="C203" s="80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</row>
    <row r="204" spans="1:39" s="9" customFormat="1" ht="12.75">
      <c r="A204" s="14"/>
      <c r="B204" s="11"/>
      <c r="C204" s="80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</row>
    <row r="205" spans="1:39" s="9" customFormat="1" ht="12.75">
      <c r="A205" s="14"/>
      <c r="B205" s="11"/>
      <c r="C205" s="80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</row>
    <row r="206" spans="1:39" s="9" customFormat="1" ht="12.75">
      <c r="A206" s="14"/>
      <c r="B206" s="11"/>
      <c r="C206" s="80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</row>
    <row r="207" spans="1:39" s="9" customFormat="1" ht="12.75">
      <c r="A207" s="14"/>
      <c r="B207" s="11"/>
      <c r="C207" s="80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</row>
    <row r="208" spans="1:39" s="9" customFormat="1" ht="12.75">
      <c r="A208" s="14"/>
      <c r="B208" s="11"/>
      <c r="C208" s="80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</row>
    <row r="209" spans="1:39" s="9" customFormat="1" ht="12.75">
      <c r="A209" s="14"/>
      <c r="B209" s="11"/>
      <c r="C209" s="80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</row>
    <row r="210" spans="1:39" s="9" customFormat="1" ht="12.75">
      <c r="A210" s="14"/>
      <c r="B210" s="11"/>
      <c r="C210" s="80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</row>
    <row r="211" spans="1:39" s="9" customFormat="1" ht="12.75">
      <c r="A211" s="14"/>
      <c r="B211" s="11"/>
      <c r="C211" s="80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</row>
    <row r="212" spans="1:39" s="9" customFormat="1" ht="12.75">
      <c r="A212" s="14"/>
      <c r="B212" s="11"/>
      <c r="C212" s="80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</row>
    <row r="213" spans="1:39" s="9" customFormat="1" ht="12.75">
      <c r="A213" s="14"/>
      <c r="B213" s="11"/>
      <c r="C213" s="80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</row>
    <row r="214" spans="1:39" s="9" customFormat="1" ht="12.75">
      <c r="A214" s="14"/>
      <c r="B214" s="11"/>
      <c r="C214" s="80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</row>
    <row r="215" spans="1:39" s="9" customFormat="1" ht="12.75">
      <c r="A215" s="14"/>
      <c r="B215" s="11"/>
      <c r="C215" s="80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</row>
    <row r="216" spans="1:39" s="9" customFormat="1" ht="12.75">
      <c r="A216" s="14"/>
      <c r="B216" s="11"/>
      <c r="C216" s="80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</row>
    <row r="217" spans="1:39" s="9" customFormat="1" ht="12.75">
      <c r="A217" s="14"/>
      <c r="B217" s="11"/>
      <c r="C217" s="80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</row>
    <row r="218" spans="1:39" s="9" customFormat="1" ht="12.75">
      <c r="A218" s="14"/>
      <c r="B218" s="11"/>
      <c r="C218" s="80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</row>
    <row r="219" spans="1:39" s="9" customFormat="1" ht="12.75">
      <c r="A219" s="14"/>
      <c r="B219" s="11"/>
      <c r="C219" s="80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</row>
    <row r="220" spans="1:39" s="9" customFormat="1" ht="12.75">
      <c r="A220" s="14"/>
      <c r="B220" s="11"/>
      <c r="C220" s="80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</row>
    <row r="221" spans="1:39" s="9" customFormat="1" ht="12.75">
      <c r="A221" s="14"/>
      <c r="B221" s="11"/>
      <c r="C221" s="80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</row>
    <row r="222" spans="1:39" s="9" customFormat="1" ht="12.75">
      <c r="A222" s="14"/>
      <c r="B222" s="11"/>
      <c r="C222" s="80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</row>
    <row r="223" spans="1:39" s="9" customFormat="1" ht="12.75">
      <c r="A223" s="14"/>
      <c r="B223" s="11"/>
      <c r="C223" s="80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</row>
    <row r="224" spans="1:39" s="9" customFormat="1" ht="12.75">
      <c r="A224" s="14"/>
      <c r="B224" s="11"/>
      <c r="C224" s="80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</row>
    <row r="225" spans="1:39" s="9" customFormat="1" ht="12.75">
      <c r="A225" s="14"/>
      <c r="B225" s="11"/>
      <c r="C225" s="80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</row>
    <row r="226" spans="1:39" s="9" customFormat="1" ht="12.75">
      <c r="A226" s="14"/>
      <c r="B226" s="11"/>
      <c r="C226" s="80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</row>
    <row r="227" spans="1:39" s="9" customFormat="1" ht="12.75">
      <c r="A227" s="14"/>
      <c r="B227" s="11"/>
      <c r="C227" s="80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</row>
    <row r="228" spans="1:39" s="9" customFormat="1" ht="12.75">
      <c r="A228" s="14"/>
      <c r="B228" s="11"/>
      <c r="C228" s="80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</row>
    <row r="229" spans="1:39" s="9" customFormat="1" ht="12.75">
      <c r="A229" s="14"/>
      <c r="B229" s="11"/>
      <c r="C229" s="80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</row>
    <row r="230" spans="1:39" s="9" customFormat="1" ht="12.75">
      <c r="A230" s="14"/>
      <c r="B230" s="11"/>
      <c r="C230" s="80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</row>
    <row r="231" spans="1:39" s="9" customFormat="1" ht="12.75">
      <c r="A231" s="14"/>
      <c r="B231" s="11"/>
      <c r="C231" s="80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</row>
    <row r="232" spans="1:39" s="9" customFormat="1" ht="12.75">
      <c r="A232" s="14"/>
      <c r="B232" s="11"/>
      <c r="C232" s="80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</row>
    <row r="233" spans="1:39" s="9" customFormat="1" ht="12.75">
      <c r="A233" s="14"/>
      <c r="B233" s="11"/>
      <c r="C233" s="80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</row>
    <row r="234" spans="1:39" s="9" customFormat="1" ht="12.75">
      <c r="A234" s="14"/>
      <c r="B234" s="11"/>
      <c r="C234" s="80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</row>
    <row r="235" spans="1:39" s="9" customFormat="1" ht="12.75">
      <c r="A235" s="14"/>
      <c r="B235" s="11"/>
      <c r="C235" s="80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</row>
    <row r="236" spans="1:39" s="9" customFormat="1" ht="12.75">
      <c r="A236" s="14"/>
      <c r="B236" s="11"/>
      <c r="C236" s="80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</row>
    <row r="237" spans="1:39" s="9" customFormat="1" ht="12.75">
      <c r="A237" s="14"/>
      <c r="B237" s="11"/>
      <c r="C237" s="80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</row>
    <row r="238" spans="1:39" s="9" customFormat="1" ht="12.75">
      <c r="A238" s="14"/>
      <c r="B238" s="11"/>
      <c r="C238" s="80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</row>
    <row r="239" spans="1:39" s="9" customFormat="1" ht="12.75">
      <c r="A239" s="14"/>
      <c r="B239" s="11"/>
      <c r="C239" s="80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</row>
    <row r="240" spans="1:39" s="9" customFormat="1" ht="12.75">
      <c r="A240" s="14"/>
      <c r="B240" s="11"/>
      <c r="C240" s="80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</row>
    <row r="241" spans="1:39" s="9" customFormat="1" ht="12.75">
      <c r="A241" s="14"/>
      <c r="B241" s="11"/>
      <c r="C241" s="80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</row>
    <row r="242" spans="1:39" s="9" customFormat="1" ht="12.75">
      <c r="A242" s="14"/>
      <c r="B242" s="11"/>
      <c r="C242" s="80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</row>
    <row r="243" spans="1:39" s="9" customFormat="1" ht="12.75">
      <c r="A243" s="14"/>
      <c r="B243" s="11"/>
      <c r="C243" s="80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</row>
    <row r="244" spans="1:39" s="9" customFormat="1" ht="12.75">
      <c r="A244" s="14"/>
      <c r="B244" s="11"/>
      <c r="C244" s="80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</row>
    <row r="245" spans="1:39" s="9" customFormat="1" ht="12.75">
      <c r="A245" s="14"/>
      <c r="B245" s="11"/>
      <c r="C245" s="80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</row>
    <row r="246" spans="1:39" s="9" customFormat="1" ht="12.75">
      <c r="A246" s="14"/>
      <c r="B246" s="11"/>
      <c r="C246" s="80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</row>
    <row r="247" spans="1:39" s="9" customFormat="1" ht="12.75">
      <c r="A247" s="14"/>
      <c r="B247" s="11"/>
      <c r="C247" s="80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</row>
    <row r="248" spans="1:39" s="9" customFormat="1" ht="12.75">
      <c r="A248" s="14"/>
      <c r="B248" s="11"/>
      <c r="C248" s="80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</row>
    <row r="249" spans="1:39" s="9" customFormat="1" ht="12.75">
      <c r="A249" s="14"/>
      <c r="B249" s="11"/>
      <c r="C249" s="80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</row>
    <row r="250" spans="1:39" s="9" customFormat="1" ht="12.75">
      <c r="A250" s="14"/>
      <c r="B250" s="11"/>
      <c r="C250" s="80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</row>
    <row r="251" spans="1:39" s="9" customFormat="1" ht="12.75">
      <c r="A251" s="14"/>
      <c r="B251" s="11"/>
      <c r="C251" s="80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</row>
    <row r="252" spans="1:39" s="9" customFormat="1" ht="12.75">
      <c r="A252" s="14"/>
      <c r="B252" s="11"/>
      <c r="C252" s="80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</row>
    <row r="253" spans="1:39" s="9" customFormat="1" ht="12.75">
      <c r="A253" s="14"/>
      <c r="B253" s="11"/>
      <c r="C253" s="80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</row>
    <row r="254" spans="1:39" s="9" customFormat="1" ht="12.75">
      <c r="A254" s="14"/>
      <c r="B254" s="11"/>
      <c r="C254" s="80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</row>
    <row r="255" spans="1:39" s="9" customFormat="1" ht="12.75">
      <c r="A255" s="14"/>
      <c r="B255" s="11"/>
      <c r="C255" s="80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</row>
    <row r="256" spans="1:39" s="9" customFormat="1" ht="12.75">
      <c r="A256" s="14"/>
      <c r="B256" s="11"/>
      <c r="C256" s="80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</row>
    <row r="257" spans="1:39" s="9" customFormat="1" ht="12.75">
      <c r="A257" s="14"/>
      <c r="B257" s="11"/>
      <c r="C257" s="80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</row>
    <row r="258" spans="1:39" s="9" customFormat="1" ht="12.75">
      <c r="A258" s="14"/>
      <c r="B258" s="11"/>
      <c r="C258" s="80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</row>
    <row r="259" spans="1:39" s="9" customFormat="1" ht="12.75">
      <c r="A259" s="14"/>
      <c r="B259" s="11"/>
      <c r="C259" s="80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</row>
    <row r="260" spans="1:39" s="9" customFormat="1" ht="12.75">
      <c r="A260" s="14"/>
      <c r="B260" s="11"/>
      <c r="C260" s="80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</row>
    <row r="261" spans="1:39" s="9" customFormat="1" ht="12.75">
      <c r="A261" s="14"/>
      <c r="B261" s="11"/>
      <c r="C261" s="80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</row>
    <row r="262" spans="1:39" s="9" customFormat="1" ht="12.75">
      <c r="A262" s="14"/>
      <c r="B262" s="11"/>
      <c r="C262" s="80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</row>
    <row r="263" spans="1:39" s="9" customFormat="1" ht="12.75">
      <c r="A263" s="14"/>
      <c r="B263" s="11"/>
      <c r="C263" s="80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</row>
    <row r="264" spans="1:39" s="9" customFormat="1" ht="12.75">
      <c r="A264" s="14"/>
      <c r="B264" s="11"/>
      <c r="C264" s="80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</row>
    <row r="265" spans="1:39" s="9" customFormat="1" ht="12.75">
      <c r="A265" s="14"/>
      <c r="B265" s="11"/>
      <c r="C265" s="80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</row>
    <row r="266" spans="1:39" s="9" customFormat="1" ht="12.75">
      <c r="A266" s="14"/>
      <c r="B266" s="11"/>
      <c r="C266" s="80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</row>
    <row r="267" spans="1:39" s="9" customFormat="1" ht="12.75">
      <c r="A267" s="14"/>
      <c r="B267" s="11"/>
      <c r="C267" s="80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</row>
    <row r="268" spans="1:39" s="9" customFormat="1" ht="12.75">
      <c r="A268" s="14"/>
      <c r="B268" s="11"/>
      <c r="C268" s="80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</row>
    <row r="269" spans="1:39" s="9" customFormat="1" ht="12.75">
      <c r="A269" s="14"/>
      <c r="B269" s="11"/>
      <c r="C269" s="80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</row>
    <row r="270" spans="1:39" s="9" customFormat="1" ht="12.75">
      <c r="A270" s="14"/>
      <c r="B270" s="11"/>
      <c r="C270" s="80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</row>
    <row r="271" spans="1:39" s="9" customFormat="1" ht="12.75">
      <c r="A271" s="14"/>
      <c r="B271" s="11"/>
      <c r="C271" s="80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</row>
    <row r="272" spans="1:39" s="9" customFormat="1" ht="12.75">
      <c r="A272" s="14"/>
      <c r="B272" s="11"/>
      <c r="C272" s="80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</row>
    <row r="273" spans="1:39" s="9" customFormat="1" ht="12.75">
      <c r="A273" s="14"/>
      <c r="B273" s="11"/>
      <c r="C273" s="80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</row>
    <row r="274" spans="1:39" s="9" customFormat="1" ht="12.75">
      <c r="A274" s="14"/>
      <c r="B274" s="11"/>
      <c r="C274" s="80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</row>
    <row r="275" spans="1:39" s="9" customFormat="1" ht="12.75">
      <c r="A275" s="14"/>
      <c r="B275" s="11"/>
      <c r="C275" s="80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</row>
    <row r="276" spans="1:39" s="9" customFormat="1" ht="12.75">
      <c r="A276" s="14"/>
      <c r="B276" s="11"/>
      <c r="C276" s="80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</row>
    <row r="277" spans="1:39" s="9" customFormat="1" ht="12.75">
      <c r="A277" s="14"/>
      <c r="B277" s="11"/>
      <c r="C277" s="80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</row>
    <row r="278" spans="1:39" s="9" customFormat="1" ht="12.75">
      <c r="A278" s="14"/>
      <c r="B278" s="11"/>
      <c r="C278" s="80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</row>
    <row r="279" spans="1:39" s="9" customFormat="1" ht="12.75">
      <c r="A279" s="14"/>
      <c r="B279" s="11"/>
      <c r="C279" s="80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</row>
    <row r="280" spans="1:39" s="9" customFormat="1" ht="12.75">
      <c r="A280" s="14"/>
      <c r="B280" s="11"/>
      <c r="C280" s="80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</row>
    <row r="281" spans="1:39" s="9" customFormat="1" ht="12.75">
      <c r="A281" s="14"/>
      <c r="B281" s="11"/>
      <c r="C281" s="80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</row>
    <row r="282" spans="1:39" s="9" customFormat="1" ht="12.75">
      <c r="A282" s="14"/>
      <c r="B282" s="11"/>
      <c r="C282" s="80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</row>
    <row r="283" spans="1:39" s="9" customFormat="1" ht="12.75">
      <c r="A283" s="14"/>
      <c r="B283" s="11"/>
      <c r="C283" s="80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</row>
    <row r="284" spans="1:39" s="9" customFormat="1" ht="12.75">
      <c r="A284" s="14"/>
      <c r="B284" s="11"/>
      <c r="C284" s="80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</row>
    <row r="285" spans="1:39" s="9" customFormat="1" ht="12.75">
      <c r="A285" s="14"/>
      <c r="B285" s="11"/>
      <c r="C285" s="80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</row>
    <row r="286" spans="1:39" s="9" customFormat="1" ht="12.75">
      <c r="A286" s="14"/>
      <c r="B286" s="11"/>
      <c r="C286" s="80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</row>
    <row r="287" spans="1:39" s="9" customFormat="1" ht="12.75">
      <c r="A287" s="14"/>
      <c r="B287" s="11"/>
      <c r="C287" s="80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</row>
    <row r="288" spans="1:39" s="9" customFormat="1" ht="12.75">
      <c r="A288" s="14"/>
      <c r="B288" s="11"/>
      <c r="C288" s="80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</row>
    <row r="289" spans="1:39" s="9" customFormat="1" ht="12.75">
      <c r="A289" s="14"/>
      <c r="B289" s="11"/>
      <c r="C289" s="80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</row>
    <row r="290" spans="1:39" s="9" customFormat="1" ht="12.75">
      <c r="A290" s="14"/>
      <c r="B290" s="11"/>
      <c r="C290" s="80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</row>
    <row r="291" spans="1:39" s="9" customFormat="1" ht="12.75">
      <c r="A291" s="14"/>
      <c r="B291" s="11"/>
      <c r="C291" s="80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</row>
    <row r="292" spans="1:39" s="9" customFormat="1" ht="12.75">
      <c r="A292" s="14"/>
      <c r="B292" s="11"/>
      <c r="C292" s="80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</row>
    <row r="293" spans="1:39" s="9" customFormat="1" ht="12.75">
      <c r="A293" s="14"/>
      <c r="B293" s="11"/>
      <c r="C293" s="80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</row>
    <row r="294" spans="1:39" s="9" customFormat="1" ht="12.75">
      <c r="A294" s="14"/>
      <c r="B294" s="11"/>
      <c r="C294" s="80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</row>
    <row r="295" spans="1:39" s="9" customFormat="1" ht="12.75">
      <c r="A295" s="14"/>
      <c r="B295" s="11"/>
      <c r="C295" s="80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</row>
    <row r="296" spans="1:39" s="9" customFormat="1" ht="12.75">
      <c r="A296" s="14"/>
      <c r="B296" s="11"/>
      <c r="C296" s="80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</row>
    <row r="297" spans="1:39" s="9" customFormat="1" ht="12.75">
      <c r="A297" s="14"/>
      <c r="B297" s="11"/>
      <c r="C297" s="80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</row>
    <row r="298" spans="1:39" s="9" customFormat="1" ht="12.75">
      <c r="A298" s="14"/>
      <c r="B298" s="11"/>
      <c r="C298" s="80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</row>
    <row r="299" spans="1:39" s="9" customFormat="1" ht="12.75">
      <c r="A299" s="14"/>
      <c r="B299" s="11"/>
      <c r="C299" s="80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</row>
    <row r="300" spans="1:39" s="9" customFormat="1" ht="12.75">
      <c r="A300" s="14"/>
      <c r="B300" s="11"/>
      <c r="C300" s="80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</row>
    <row r="301" spans="1:39" s="9" customFormat="1" ht="12.75">
      <c r="A301" s="14"/>
      <c r="B301" s="11"/>
      <c r="C301" s="80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</row>
    <row r="302" spans="1:39" s="9" customFormat="1" ht="12.75">
      <c r="A302" s="14"/>
      <c r="B302" s="11"/>
      <c r="C302" s="80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</row>
    <row r="303" spans="1:39" s="9" customFormat="1" ht="12.75">
      <c r="A303" s="14"/>
      <c r="B303" s="11"/>
      <c r="C303" s="80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</row>
    <row r="304" spans="1:39" s="9" customFormat="1" ht="12.75">
      <c r="A304" s="14"/>
      <c r="B304" s="11"/>
      <c r="C304" s="80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</row>
    <row r="305" spans="1:39" s="9" customFormat="1" ht="12.75">
      <c r="A305" s="14"/>
      <c r="B305" s="11"/>
      <c r="C305" s="80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</row>
    <row r="306" spans="1:39" s="9" customFormat="1" ht="12.75">
      <c r="A306" s="14"/>
      <c r="B306" s="11"/>
      <c r="C306" s="80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</row>
    <row r="307" spans="1:39" s="9" customFormat="1" ht="12.75">
      <c r="A307" s="14"/>
      <c r="B307" s="11"/>
      <c r="C307" s="80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</row>
    <row r="308" spans="1:39" s="9" customFormat="1" ht="12.75">
      <c r="A308" s="14"/>
      <c r="B308" s="11"/>
      <c r="C308" s="80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</row>
    <row r="309" spans="1:39" s="9" customFormat="1" ht="12.75">
      <c r="A309" s="14"/>
      <c r="B309" s="11"/>
      <c r="C309" s="80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</row>
    <row r="310" spans="1:39" s="9" customFormat="1" ht="12.75">
      <c r="A310" s="14"/>
      <c r="B310" s="11"/>
      <c r="C310" s="80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</row>
    <row r="311" spans="1:39" s="9" customFormat="1" ht="12.75">
      <c r="A311" s="14"/>
      <c r="B311" s="11"/>
      <c r="C311" s="80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</row>
    <row r="312" spans="1:39" s="9" customFormat="1" ht="12.75">
      <c r="A312" s="14"/>
      <c r="B312" s="11"/>
      <c r="C312" s="80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</row>
    <row r="313" spans="1:39" s="9" customFormat="1" ht="12.75">
      <c r="A313" s="14"/>
      <c r="B313" s="11"/>
      <c r="C313" s="80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</row>
    <row r="314" spans="1:39" s="9" customFormat="1" ht="12.75">
      <c r="A314" s="14"/>
      <c r="B314" s="11"/>
      <c r="C314" s="80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</row>
    <row r="315" spans="1:39" s="9" customFormat="1" ht="12.75">
      <c r="A315" s="14"/>
      <c r="B315" s="11"/>
      <c r="C315" s="80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</row>
    <row r="316" spans="1:39" s="9" customFormat="1" ht="12.75">
      <c r="A316" s="14"/>
      <c r="B316" s="11"/>
      <c r="C316" s="80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</row>
    <row r="317" spans="1:39" s="9" customFormat="1" ht="12.75">
      <c r="A317" s="14"/>
      <c r="B317" s="11"/>
      <c r="C317" s="80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</row>
    <row r="318" spans="1:39" s="9" customFormat="1" ht="12.75">
      <c r="A318" s="14"/>
      <c r="B318" s="11"/>
      <c r="C318" s="80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</row>
    <row r="319" spans="1:39" s="9" customFormat="1" ht="12.75">
      <c r="A319" s="14"/>
      <c r="B319" s="11"/>
      <c r="C319" s="80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</row>
    <row r="320" spans="1:39" s="9" customFormat="1" ht="12.75">
      <c r="A320" s="14"/>
      <c r="B320" s="11"/>
      <c r="C320" s="80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</row>
    <row r="321" spans="2:39" s="9" customFormat="1" ht="12.75">
      <c r="B321" s="11"/>
      <c r="C321" s="80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</row>
    <row r="322" spans="2:39" s="9" customFormat="1" ht="12.75">
      <c r="B322" s="11"/>
      <c r="C322" s="80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</row>
    <row r="323" spans="2:39" s="9" customFormat="1" ht="12.75">
      <c r="B323" s="11"/>
      <c r="C323" s="80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</row>
    <row r="324" spans="2:39" s="9" customFormat="1" ht="12.75">
      <c r="B324" s="11"/>
      <c r="C324" s="80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</row>
    <row r="325" spans="2:39" s="9" customFormat="1" ht="12.75">
      <c r="B325" s="11"/>
      <c r="C325" s="80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</row>
    <row r="326" spans="2:39" s="9" customFormat="1" ht="12.75">
      <c r="B326" s="11"/>
      <c r="C326" s="80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</row>
    <row r="327" spans="2:39" s="9" customFormat="1" ht="12.75">
      <c r="B327" s="11"/>
      <c r="C327" s="80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</row>
    <row r="328" spans="2:39" s="9" customFormat="1" ht="12.75">
      <c r="B328" s="11"/>
      <c r="C328" s="80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</row>
    <row r="329" spans="2:39" s="9" customFormat="1" ht="12.75">
      <c r="B329" s="11"/>
      <c r="C329" s="80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</row>
    <row r="330" spans="2:39" s="9" customFormat="1" ht="12.75">
      <c r="B330" s="11"/>
      <c r="C330" s="80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</row>
    <row r="331" spans="2:39" s="9" customFormat="1" ht="12.75">
      <c r="B331" s="11"/>
      <c r="C331" s="80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</row>
    <row r="332" spans="2:39" s="9" customFormat="1" ht="12.75">
      <c r="B332" s="11"/>
      <c r="C332" s="80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</row>
    <row r="333" spans="2:39" s="9" customFormat="1" ht="12.75">
      <c r="B333" s="11"/>
      <c r="C333" s="80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</row>
    <row r="334" spans="2:39" s="9" customFormat="1" ht="12.75">
      <c r="B334" s="11"/>
      <c r="C334" s="80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</row>
    <row r="335" spans="2:39" s="9" customFormat="1" ht="12.75">
      <c r="B335" s="11"/>
      <c r="C335" s="80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</row>
    <row r="336" spans="2:39" s="9" customFormat="1" ht="12.75">
      <c r="B336" s="11"/>
      <c r="C336" s="80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</row>
    <row r="337" spans="2:39" s="9" customFormat="1" ht="12.75">
      <c r="B337" s="11"/>
      <c r="C337" s="80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</row>
    <row r="338" spans="2:39" s="9" customFormat="1" ht="12.75">
      <c r="B338" s="11"/>
      <c r="C338" s="80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</row>
    <row r="339" spans="2:39" s="9" customFormat="1" ht="12.75">
      <c r="B339" s="11"/>
      <c r="C339" s="80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</row>
    <row r="340" spans="2:39" s="9" customFormat="1" ht="12.75">
      <c r="B340" s="11"/>
      <c r="C340" s="80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</row>
    <row r="341" spans="2:39" s="9" customFormat="1" ht="12.75">
      <c r="B341" s="11"/>
      <c r="C341" s="80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</row>
    <row r="342" spans="2:39" s="9" customFormat="1" ht="12.75">
      <c r="B342" s="11"/>
      <c r="C342" s="80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</row>
    <row r="343" spans="2:39" s="9" customFormat="1" ht="12.75">
      <c r="B343" s="11"/>
      <c r="C343" s="80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</row>
    <row r="344" spans="2:39" s="9" customFormat="1" ht="12.75">
      <c r="B344" s="11"/>
      <c r="C344" s="80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</row>
    <row r="345" spans="2:39" s="9" customFormat="1" ht="12.75">
      <c r="B345" s="11"/>
      <c r="C345" s="80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</row>
    <row r="346" spans="2:39" s="9" customFormat="1" ht="12.75">
      <c r="B346" s="11"/>
      <c r="C346" s="80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</row>
    <row r="347" spans="2:39" s="9" customFormat="1" ht="12.75">
      <c r="B347" s="11"/>
      <c r="C347" s="80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</row>
    <row r="348" spans="2:39" s="9" customFormat="1" ht="12.75">
      <c r="B348" s="11"/>
      <c r="C348" s="80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</row>
    <row r="349" spans="2:39" s="9" customFormat="1" ht="12.75">
      <c r="B349" s="11"/>
      <c r="C349" s="80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</row>
    <row r="350" spans="2:39" s="9" customFormat="1" ht="12.75">
      <c r="B350" s="11"/>
      <c r="C350" s="80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</row>
    <row r="351" spans="2:39" s="9" customFormat="1" ht="12.75">
      <c r="B351" s="11"/>
      <c r="C351" s="80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</row>
    <row r="352" spans="2:39" s="9" customFormat="1" ht="12.75">
      <c r="B352" s="11"/>
      <c r="C352" s="80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</row>
    <row r="353" spans="2:39" s="9" customFormat="1" ht="12.75">
      <c r="B353" s="11"/>
      <c r="C353" s="80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</row>
    <row r="354" spans="2:39" s="9" customFormat="1" ht="12.75">
      <c r="B354" s="11"/>
      <c r="C354" s="80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</row>
    <row r="355" spans="2:39" s="9" customFormat="1" ht="12.75">
      <c r="B355" s="11"/>
      <c r="C355" s="80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</row>
    <row r="356" spans="2:39" s="9" customFormat="1" ht="12.75">
      <c r="B356" s="11"/>
      <c r="C356" s="80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</row>
    <row r="357" spans="2:39" s="9" customFormat="1" ht="12.75">
      <c r="B357" s="11"/>
      <c r="C357" s="80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</row>
    <row r="358" spans="2:39" s="9" customFormat="1" ht="12.75">
      <c r="B358" s="11"/>
      <c r="C358" s="80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</row>
    <row r="359" spans="2:39" s="9" customFormat="1" ht="12.75">
      <c r="B359" s="11"/>
      <c r="C359" s="80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</row>
    <row r="360" spans="2:39" s="9" customFormat="1" ht="12.75">
      <c r="B360" s="11"/>
      <c r="C360" s="80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</row>
    <row r="361" spans="2:39" s="9" customFormat="1" ht="12.75">
      <c r="B361" s="11"/>
      <c r="C361" s="80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</row>
    <row r="362" spans="2:39" s="9" customFormat="1" ht="12.75">
      <c r="B362" s="11"/>
      <c r="C362" s="80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</row>
    <row r="363" spans="2:39" s="9" customFormat="1" ht="12.75">
      <c r="B363" s="11"/>
      <c r="C363" s="80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</row>
    <row r="364" spans="2:39" s="9" customFormat="1" ht="12.75">
      <c r="B364" s="11"/>
      <c r="C364" s="80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</row>
    <row r="365" spans="2:39" s="9" customFormat="1" ht="12.75">
      <c r="B365" s="11"/>
      <c r="C365" s="80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</row>
    <row r="366" spans="2:39" s="9" customFormat="1" ht="12.75">
      <c r="B366" s="11"/>
      <c r="C366" s="80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</row>
    <row r="367" spans="2:39" s="9" customFormat="1" ht="12.75">
      <c r="B367" s="11"/>
      <c r="C367" s="80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</row>
    <row r="368" spans="2:39" s="9" customFormat="1" ht="12.75">
      <c r="B368" s="11"/>
      <c r="C368" s="80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</row>
    <row r="369" spans="2:39" s="9" customFormat="1" ht="12.75">
      <c r="B369" s="11"/>
      <c r="C369" s="80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</row>
    <row r="370" spans="2:39" s="9" customFormat="1" ht="12.75">
      <c r="B370" s="11"/>
      <c r="C370" s="80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</row>
    <row r="371" spans="2:39" s="9" customFormat="1" ht="12.75">
      <c r="B371" s="11"/>
      <c r="C371" s="80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</row>
    <row r="372" spans="2:39" s="9" customFormat="1" ht="12.75">
      <c r="B372" s="11"/>
      <c r="C372" s="80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</row>
    <row r="373" spans="2:39" s="9" customFormat="1" ht="12.75">
      <c r="B373" s="11"/>
      <c r="C373" s="80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</row>
    <row r="374" spans="2:39" s="9" customFormat="1" ht="12.75">
      <c r="B374" s="11"/>
      <c r="C374" s="80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</row>
    <row r="375" spans="2:39" s="9" customFormat="1" ht="12.75">
      <c r="B375" s="11"/>
      <c r="C375" s="80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</row>
    <row r="376" spans="2:39" s="9" customFormat="1" ht="12.75">
      <c r="B376" s="11"/>
      <c r="C376" s="80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</row>
    <row r="377" spans="2:39" s="9" customFormat="1" ht="12.75">
      <c r="B377" s="11"/>
      <c r="C377" s="80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</row>
    <row r="378" spans="2:39" s="9" customFormat="1" ht="12.75">
      <c r="B378" s="11"/>
      <c r="C378" s="80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</row>
    <row r="379" spans="2:39" s="9" customFormat="1" ht="12.75">
      <c r="B379" s="11"/>
      <c r="C379" s="80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</row>
    <row r="380" spans="2:39" s="9" customFormat="1" ht="12.75">
      <c r="B380" s="11"/>
      <c r="C380" s="80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</row>
    <row r="381" spans="2:39" s="9" customFormat="1" ht="12.75">
      <c r="B381" s="11"/>
      <c r="C381" s="80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</row>
    <row r="382" spans="2:39" s="9" customFormat="1" ht="12.75">
      <c r="B382" s="11"/>
      <c r="C382" s="80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</row>
    <row r="383" spans="2:39" s="9" customFormat="1" ht="12.75">
      <c r="B383" s="11"/>
      <c r="C383" s="80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</row>
    <row r="384" spans="2:39" s="9" customFormat="1" ht="12.75">
      <c r="B384" s="11"/>
      <c r="C384" s="80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</row>
    <row r="385" spans="2:39" s="9" customFormat="1" ht="12.75">
      <c r="B385" s="11"/>
      <c r="C385" s="80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</row>
    <row r="386" spans="2:39" s="9" customFormat="1" ht="12.75">
      <c r="B386" s="11"/>
      <c r="C386" s="80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</row>
    <row r="387" spans="2:39" s="9" customFormat="1" ht="12.75">
      <c r="B387" s="11"/>
      <c r="C387" s="80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</row>
    <row r="388" spans="2:39" s="9" customFormat="1" ht="12.75">
      <c r="B388" s="11"/>
      <c r="C388" s="80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</row>
    <row r="389" spans="2:39" s="9" customFormat="1" ht="12.75">
      <c r="B389" s="11"/>
      <c r="C389" s="80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</row>
    <row r="390" spans="2:39" s="9" customFormat="1" ht="12.75">
      <c r="B390" s="11"/>
      <c r="C390" s="80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</row>
    <row r="391" spans="2:39" s="9" customFormat="1" ht="12.75">
      <c r="B391" s="11"/>
      <c r="C391" s="80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</row>
    <row r="392" spans="2:39" s="9" customFormat="1" ht="12.75">
      <c r="B392" s="11"/>
      <c r="C392" s="80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</row>
    <row r="393" spans="2:39" s="9" customFormat="1" ht="12.75">
      <c r="B393" s="11"/>
      <c r="C393" s="80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</row>
    <row r="394" spans="2:39" s="9" customFormat="1" ht="12.75">
      <c r="B394" s="11"/>
      <c r="C394" s="80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</row>
    <row r="395" spans="2:39" s="9" customFormat="1" ht="12.75">
      <c r="B395" s="11"/>
      <c r="C395" s="80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</row>
    <row r="396" spans="2:39" s="9" customFormat="1" ht="12.75">
      <c r="B396" s="11"/>
      <c r="C396" s="80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</row>
    <row r="397" spans="2:39" s="9" customFormat="1" ht="12.75">
      <c r="B397" s="11"/>
      <c r="C397" s="80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</row>
    <row r="398" spans="2:39" s="9" customFormat="1" ht="12.75">
      <c r="B398" s="11"/>
      <c r="C398" s="80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</row>
    <row r="399" spans="2:39" s="9" customFormat="1" ht="12.75">
      <c r="B399" s="11"/>
      <c r="C399" s="80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</row>
    <row r="400" spans="2:39" s="9" customFormat="1" ht="12.75">
      <c r="B400" s="11"/>
      <c r="C400" s="80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</row>
    <row r="401" spans="2:39" s="9" customFormat="1" ht="12.75">
      <c r="B401" s="11"/>
      <c r="C401" s="80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</row>
    <row r="402" spans="2:39" s="9" customFormat="1" ht="12.75">
      <c r="B402" s="11"/>
      <c r="C402" s="80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</row>
    <row r="403" spans="2:39" s="9" customFormat="1" ht="12.75">
      <c r="B403" s="11"/>
      <c r="C403" s="80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</row>
    <row r="404" spans="2:39" s="9" customFormat="1" ht="12.75">
      <c r="B404" s="11"/>
      <c r="C404" s="80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</row>
    <row r="405" spans="2:39" s="9" customFormat="1" ht="12.75">
      <c r="B405" s="11"/>
      <c r="C405" s="80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</row>
    <row r="406" spans="2:39" s="9" customFormat="1" ht="12.75">
      <c r="B406" s="11"/>
      <c r="C406" s="80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</row>
    <row r="407" spans="2:39" s="9" customFormat="1" ht="12.75">
      <c r="B407" s="11"/>
      <c r="C407" s="80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</row>
    <row r="408" spans="2:39" s="9" customFormat="1" ht="12.75">
      <c r="B408" s="11"/>
      <c r="C408" s="80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</row>
    <row r="409" spans="2:39" s="9" customFormat="1" ht="12.75">
      <c r="B409" s="11"/>
      <c r="C409" s="80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</row>
    <row r="410" spans="2:39" s="9" customFormat="1" ht="12.75">
      <c r="B410" s="11"/>
      <c r="C410" s="80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</row>
    <row r="411" spans="2:39" s="9" customFormat="1" ht="12.75">
      <c r="B411" s="11"/>
      <c r="C411" s="80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</row>
    <row r="412" spans="2:39" s="9" customFormat="1" ht="12.75">
      <c r="B412" s="11"/>
      <c r="C412" s="80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</row>
    <row r="413" spans="2:39" s="9" customFormat="1" ht="12.75">
      <c r="B413" s="11"/>
      <c r="C413" s="80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</row>
    <row r="414" spans="2:39" s="9" customFormat="1" ht="12.75">
      <c r="B414" s="11"/>
      <c r="C414" s="80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</row>
    <row r="415" spans="2:39" s="9" customFormat="1" ht="12.75">
      <c r="B415" s="11"/>
      <c r="C415" s="80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</row>
    <row r="416" spans="2:39" s="9" customFormat="1" ht="12.75">
      <c r="B416" s="11"/>
      <c r="C416" s="80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</row>
    <row r="417" spans="2:39" s="9" customFormat="1" ht="12.75">
      <c r="B417" s="11"/>
      <c r="C417" s="80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</row>
    <row r="418" spans="2:39" s="9" customFormat="1" ht="12.75">
      <c r="B418" s="11"/>
      <c r="C418" s="80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</row>
    <row r="419" spans="2:39" s="9" customFormat="1" ht="12.75">
      <c r="B419" s="11"/>
      <c r="C419" s="80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</row>
    <row r="420" spans="2:39" s="9" customFormat="1" ht="12.75">
      <c r="B420" s="11"/>
      <c r="C420" s="80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</row>
    <row r="421" spans="2:39" s="9" customFormat="1" ht="12.75">
      <c r="B421" s="11"/>
      <c r="C421" s="80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</row>
    <row r="422" spans="2:39" s="9" customFormat="1" ht="12.75">
      <c r="B422" s="11"/>
      <c r="C422" s="80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</row>
    <row r="423" spans="2:39" s="9" customFormat="1" ht="12.75">
      <c r="B423" s="11"/>
      <c r="C423" s="80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</row>
    <row r="424" spans="2:39" s="9" customFormat="1" ht="12.75">
      <c r="B424" s="11"/>
      <c r="C424" s="80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</row>
    <row r="425" spans="2:39" s="9" customFormat="1" ht="12.75">
      <c r="B425" s="11"/>
      <c r="C425" s="80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</row>
    <row r="426" spans="2:39" s="9" customFormat="1" ht="12.75">
      <c r="B426" s="11"/>
      <c r="C426" s="80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</row>
    <row r="427" spans="2:39" s="9" customFormat="1" ht="12.75">
      <c r="B427" s="11"/>
      <c r="C427" s="80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</row>
    <row r="428" spans="2:39" s="9" customFormat="1" ht="12.75">
      <c r="B428" s="11"/>
      <c r="C428" s="80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</row>
    <row r="429" spans="2:39" s="9" customFormat="1" ht="12.75">
      <c r="B429" s="11"/>
      <c r="C429" s="80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</row>
    <row r="430" spans="2:39" s="9" customFormat="1" ht="12.75">
      <c r="B430" s="11"/>
      <c r="C430" s="80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</row>
    <row r="431" spans="2:39" s="9" customFormat="1" ht="12.75">
      <c r="B431" s="11"/>
      <c r="C431" s="80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</row>
    <row r="432" spans="2:39" s="9" customFormat="1" ht="12.75">
      <c r="B432" s="11"/>
      <c r="C432" s="80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</row>
    <row r="433" spans="2:39" s="9" customFormat="1" ht="12.75">
      <c r="B433" s="11"/>
      <c r="C433" s="80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</row>
    <row r="434" spans="2:39" s="9" customFormat="1" ht="12.75">
      <c r="B434" s="11"/>
      <c r="C434" s="80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</row>
    <row r="435" spans="2:39" s="9" customFormat="1" ht="12.75">
      <c r="B435" s="11"/>
      <c r="C435" s="80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</row>
    <row r="436" spans="2:39" s="9" customFormat="1" ht="12.75">
      <c r="B436" s="11"/>
      <c r="C436" s="80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</row>
    <row r="437" spans="2:39" s="9" customFormat="1" ht="12.75">
      <c r="B437" s="11"/>
      <c r="C437" s="80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</row>
    <row r="438" spans="2:39" s="9" customFormat="1" ht="12.75">
      <c r="B438" s="11"/>
      <c r="C438" s="80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</row>
    <row r="439" spans="2:39" s="9" customFormat="1" ht="12.75">
      <c r="B439" s="11"/>
      <c r="C439" s="80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</row>
    <row r="440" spans="2:39" s="9" customFormat="1" ht="12.75">
      <c r="B440" s="11"/>
      <c r="C440" s="80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</row>
    <row r="441" spans="2:39" s="9" customFormat="1" ht="12.75">
      <c r="B441" s="11"/>
      <c r="C441" s="80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</row>
    <row r="442" spans="2:39" s="9" customFormat="1" ht="12.75">
      <c r="B442" s="11"/>
      <c r="C442" s="80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</row>
    <row r="443" spans="2:39" s="9" customFormat="1" ht="12.75">
      <c r="B443" s="11"/>
      <c r="C443" s="80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</row>
    <row r="444" spans="2:39" s="9" customFormat="1" ht="12.75">
      <c r="B444" s="11"/>
      <c r="C444" s="80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</row>
    <row r="445" spans="2:39" s="9" customFormat="1" ht="12.75">
      <c r="B445" s="11"/>
      <c r="C445" s="80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</row>
    <row r="446" spans="2:39" s="9" customFormat="1" ht="12.75">
      <c r="B446" s="11"/>
      <c r="C446" s="80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</row>
    <row r="447" spans="2:39" s="9" customFormat="1" ht="12.75">
      <c r="B447" s="11"/>
      <c r="C447" s="80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</row>
    <row r="448" spans="2:39" s="9" customFormat="1" ht="12.75">
      <c r="B448" s="11"/>
      <c r="C448" s="80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</row>
    <row r="449" spans="2:39" s="9" customFormat="1" ht="12.75">
      <c r="B449" s="11"/>
      <c r="C449" s="80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</row>
    <row r="450" spans="2:39" s="9" customFormat="1" ht="12.75">
      <c r="B450" s="11"/>
      <c r="C450" s="80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</row>
    <row r="451" spans="2:39" s="9" customFormat="1" ht="12.75">
      <c r="B451" s="11"/>
      <c r="C451" s="80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</row>
    <row r="452" spans="2:39" s="9" customFormat="1" ht="12.75">
      <c r="B452" s="11"/>
      <c r="C452" s="80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</row>
    <row r="453" spans="2:39" s="9" customFormat="1" ht="12.75">
      <c r="B453" s="11"/>
      <c r="C453" s="80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</row>
    <row r="454" spans="2:39" s="9" customFormat="1" ht="12.75">
      <c r="B454" s="11"/>
      <c r="C454" s="80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</row>
    <row r="455" spans="2:39" s="9" customFormat="1" ht="12.75">
      <c r="B455" s="11"/>
      <c r="C455" s="80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</row>
    <row r="456" spans="2:39" s="9" customFormat="1" ht="12.75">
      <c r="B456" s="11"/>
      <c r="C456" s="80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</row>
    <row r="457" spans="2:39" s="9" customFormat="1" ht="12.75">
      <c r="B457" s="11"/>
      <c r="C457" s="80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</row>
    <row r="458" spans="2:39" s="9" customFormat="1" ht="12.75">
      <c r="B458" s="11"/>
      <c r="C458" s="80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</row>
    <row r="459" spans="2:39" s="9" customFormat="1" ht="12.75">
      <c r="B459" s="11"/>
      <c r="C459" s="80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</row>
    <row r="460" spans="2:39" s="9" customFormat="1" ht="12.75">
      <c r="B460" s="11"/>
      <c r="C460" s="80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</row>
    <row r="461" spans="2:39" s="9" customFormat="1" ht="12.75">
      <c r="B461" s="11"/>
      <c r="C461" s="80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</row>
    <row r="462" spans="2:39" s="9" customFormat="1" ht="12.75">
      <c r="B462" s="11"/>
      <c r="C462" s="80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</row>
    <row r="463" spans="2:39" s="9" customFormat="1" ht="12.75">
      <c r="B463" s="11"/>
      <c r="C463" s="80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</row>
    <row r="464" spans="2:39" s="9" customFormat="1" ht="12.75">
      <c r="B464" s="11"/>
      <c r="C464" s="80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</row>
    <row r="465" spans="2:39" s="9" customFormat="1" ht="12.75">
      <c r="B465" s="11"/>
      <c r="C465" s="80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</row>
    <row r="466" spans="2:39" s="9" customFormat="1" ht="12.75">
      <c r="B466" s="11"/>
      <c r="C466" s="80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</row>
    <row r="467" spans="2:39" s="9" customFormat="1" ht="12.75">
      <c r="B467" s="11"/>
      <c r="C467" s="80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</row>
    <row r="468" spans="2:39" s="9" customFormat="1" ht="12.75">
      <c r="B468" s="11"/>
      <c r="C468" s="80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</row>
    <row r="469" spans="2:39" s="9" customFormat="1" ht="12.75">
      <c r="B469" s="11"/>
      <c r="C469" s="80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</row>
    <row r="470" spans="2:39" s="9" customFormat="1" ht="12.75">
      <c r="B470" s="11"/>
      <c r="C470" s="80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</row>
    <row r="471" spans="2:39" s="9" customFormat="1" ht="12.75">
      <c r="B471" s="11"/>
      <c r="C471" s="80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</row>
    <row r="472" spans="2:39" s="9" customFormat="1" ht="12.75">
      <c r="B472" s="11"/>
      <c r="C472" s="80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</row>
    <row r="473" spans="2:39" s="9" customFormat="1" ht="12.75">
      <c r="B473" s="11"/>
      <c r="C473" s="80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</row>
    <row r="474" spans="2:39" s="9" customFormat="1" ht="12.75">
      <c r="B474" s="11"/>
      <c r="C474" s="80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</row>
    <row r="475" spans="2:39" s="9" customFormat="1" ht="12.75">
      <c r="B475" s="11"/>
      <c r="C475" s="80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</row>
    <row r="476" spans="2:39" s="9" customFormat="1" ht="12.75">
      <c r="B476" s="11"/>
      <c r="C476" s="80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</row>
    <row r="477" spans="2:39" s="9" customFormat="1" ht="12.75">
      <c r="B477" s="11"/>
      <c r="C477" s="80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</row>
    <row r="478" spans="2:39" s="9" customFormat="1" ht="12.75">
      <c r="B478" s="11"/>
      <c r="C478" s="80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</row>
    <row r="479" spans="2:39" s="9" customFormat="1" ht="12.75">
      <c r="B479" s="11"/>
      <c r="C479" s="80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</row>
    <row r="480" spans="2:39" s="9" customFormat="1" ht="12.75">
      <c r="B480" s="11"/>
      <c r="C480" s="80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</row>
    <row r="481" spans="2:39" s="9" customFormat="1" ht="12.75">
      <c r="B481" s="11"/>
      <c r="C481" s="80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</row>
    <row r="482" spans="2:39" s="9" customFormat="1" ht="12.75">
      <c r="B482" s="11"/>
      <c r="C482" s="80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</row>
    <row r="483" spans="2:39" s="9" customFormat="1" ht="12.75">
      <c r="B483" s="11"/>
      <c r="C483" s="80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</row>
    <row r="484" spans="2:39" s="9" customFormat="1" ht="12.75">
      <c r="B484" s="11"/>
      <c r="C484" s="80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</row>
    <row r="485" spans="2:39" s="9" customFormat="1" ht="12.75">
      <c r="B485" s="11"/>
      <c r="C485" s="80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</row>
    <row r="486" spans="2:39" s="9" customFormat="1" ht="12.75">
      <c r="B486" s="11"/>
      <c r="C486" s="80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</row>
    <row r="487" spans="2:39" s="9" customFormat="1" ht="12.75">
      <c r="B487" s="11"/>
      <c r="C487" s="80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</row>
    <row r="488" spans="2:39" s="9" customFormat="1" ht="12.75">
      <c r="B488" s="11"/>
      <c r="C488" s="80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</row>
    <row r="489" spans="2:39" s="9" customFormat="1" ht="12.75">
      <c r="B489" s="11"/>
      <c r="C489" s="80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</row>
    <row r="490" spans="2:39" s="9" customFormat="1" ht="12.75">
      <c r="B490" s="11"/>
      <c r="C490" s="80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</row>
    <row r="491" spans="2:39" s="9" customFormat="1" ht="12.75">
      <c r="B491" s="11"/>
      <c r="C491" s="80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</row>
    <row r="492" spans="2:39" s="9" customFormat="1" ht="12.75">
      <c r="B492" s="11"/>
      <c r="C492" s="80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</row>
    <row r="493" spans="2:39" s="9" customFormat="1" ht="12.75">
      <c r="B493" s="11"/>
      <c r="C493" s="80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</row>
    <row r="494" spans="2:39" s="9" customFormat="1" ht="12.75">
      <c r="B494" s="11"/>
      <c r="C494" s="80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</row>
  </sheetData>
  <mergeCells count="4">
    <mergeCell ref="C38:O38"/>
    <mergeCell ref="A40:A70"/>
    <mergeCell ref="C5:O5"/>
    <mergeCell ref="A7:A32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AM504"/>
  <sheetViews>
    <sheetView workbookViewId="0" topLeftCell="A1">
      <selection activeCell="A1" sqref="A1"/>
    </sheetView>
  </sheetViews>
  <sheetFormatPr defaultColWidth="9.140625" defaultRowHeight="12.75"/>
  <cols>
    <col min="1" max="1" width="3.8515625" style="4" bestFit="1" customWidth="1"/>
    <col min="2" max="2" width="17.28125" style="23" customWidth="1"/>
    <col min="3" max="3" width="6.28125" style="7" customWidth="1"/>
    <col min="4" max="15" width="6.28125" style="4" customWidth="1"/>
    <col min="16" max="16" width="5.8515625" style="4" bestFit="1" customWidth="1"/>
    <col min="17" max="17" width="5.140625" style="4" bestFit="1" customWidth="1"/>
    <col min="18" max="18" width="5.7109375" style="4" bestFit="1" customWidth="1"/>
    <col min="19" max="20" width="6.00390625" style="4" bestFit="1" customWidth="1"/>
    <col min="21" max="21" width="7.28125" style="4" bestFit="1" customWidth="1"/>
    <col min="22" max="22" width="5.7109375" style="4" bestFit="1" customWidth="1"/>
    <col min="23" max="39" width="9.140625" style="2" customWidth="1"/>
    <col min="40" max="16384" width="9.140625" style="4" customWidth="1"/>
  </cols>
  <sheetData>
    <row r="1" spans="1:16" ht="18.75">
      <c r="A1" s="6" t="s">
        <v>183</v>
      </c>
      <c r="P1" s="6"/>
    </row>
    <row r="2" spans="1:16" ht="12.75">
      <c r="A2" s="5" t="s">
        <v>148</v>
      </c>
      <c r="P2" s="8"/>
    </row>
    <row r="3" spans="1:2" ht="9.75" customHeight="1">
      <c r="A3" s="13" t="s">
        <v>217</v>
      </c>
      <c r="B3" s="10"/>
    </row>
    <row r="4" spans="1:2" ht="9.75" customHeight="1" thickBot="1">
      <c r="A4" s="13"/>
      <c r="B4" s="10"/>
    </row>
    <row r="5" spans="2:15" ht="15" customHeight="1" thickBot="1">
      <c r="B5" s="10"/>
      <c r="C5" s="185">
        <v>2007</v>
      </c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7"/>
    </row>
    <row r="6" spans="2:15" ht="48" thickBot="1">
      <c r="B6" s="10"/>
      <c r="C6" s="51" t="s">
        <v>77</v>
      </c>
      <c r="D6" s="53" t="s">
        <v>78</v>
      </c>
      <c r="E6" s="53" t="s">
        <v>79</v>
      </c>
      <c r="F6" s="53" t="s">
        <v>80</v>
      </c>
      <c r="G6" s="53" t="s">
        <v>81</v>
      </c>
      <c r="H6" s="53" t="s">
        <v>82</v>
      </c>
      <c r="I6" s="53" t="s">
        <v>83</v>
      </c>
      <c r="J6" s="53" t="s">
        <v>84</v>
      </c>
      <c r="K6" s="53" t="s">
        <v>85</v>
      </c>
      <c r="L6" s="53" t="s">
        <v>86</v>
      </c>
      <c r="M6" s="53" t="s">
        <v>87</v>
      </c>
      <c r="N6" s="52" t="s">
        <v>88</v>
      </c>
      <c r="O6" s="73" t="s">
        <v>89</v>
      </c>
    </row>
    <row r="7" spans="1:22" ht="15.75">
      <c r="A7" s="195" t="s">
        <v>154</v>
      </c>
      <c r="B7" s="153" t="s">
        <v>185</v>
      </c>
      <c r="C7" s="39">
        <v>7341</v>
      </c>
      <c r="D7" s="40">
        <v>6097</v>
      </c>
      <c r="E7" s="40">
        <v>7162</v>
      </c>
      <c r="F7" s="40">
        <v>5567</v>
      </c>
      <c r="G7" s="40">
        <v>5808</v>
      </c>
      <c r="H7" s="40">
        <v>4901</v>
      </c>
      <c r="I7" s="40">
        <v>4605</v>
      </c>
      <c r="J7" s="40">
        <v>4525</v>
      </c>
      <c r="K7" s="40">
        <v>5414</v>
      </c>
      <c r="L7" s="40">
        <v>4234</v>
      </c>
      <c r="M7" s="40">
        <v>6246</v>
      </c>
      <c r="N7" s="41">
        <v>6747</v>
      </c>
      <c r="O7" s="27">
        <f>SUM(C7:N7)</f>
        <v>68647</v>
      </c>
      <c r="P7" s="75"/>
      <c r="Q7" s="75"/>
      <c r="R7" s="75"/>
      <c r="S7" s="75"/>
      <c r="T7" s="75"/>
      <c r="U7" s="75"/>
      <c r="V7" s="75"/>
    </row>
    <row r="8" spans="1:22" ht="15.75">
      <c r="A8" s="196"/>
      <c r="B8" s="154" t="s">
        <v>186</v>
      </c>
      <c r="C8" s="43">
        <v>3984</v>
      </c>
      <c r="D8" s="44">
        <v>4862</v>
      </c>
      <c r="E8" s="44">
        <v>4932</v>
      </c>
      <c r="F8" s="44">
        <v>4416</v>
      </c>
      <c r="G8" s="44">
        <v>3446</v>
      </c>
      <c r="H8" s="44">
        <v>3269</v>
      </c>
      <c r="I8" s="44">
        <v>3259</v>
      </c>
      <c r="J8" s="44">
        <v>2783</v>
      </c>
      <c r="K8" s="44">
        <v>2558</v>
      </c>
      <c r="L8" s="44">
        <v>2485</v>
      </c>
      <c r="M8" s="44">
        <v>3295</v>
      </c>
      <c r="N8" s="45">
        <v>4282</v>
      </c>
      <c r="O8" s="30">
        <f>SUM(C8:N8)</f>
        <v>43571</v>
      </c>
      <c r="P8" s="75"/>
      <c r="Q8" s="75"/>
      <c r="R8" s="75"/>
      <c r="S8" s="75"/>
      <c r="T8" s="75"/>
      <c r="U8" s="75"/>
      <c r="V8" s="75"/>
    </row>
    <row r="9" spans="1:22" ht="15.75">
      <c r="A9" s="196"/>
      <c r="B9" s="154" t="s">
        <v>105</v>
      </c>
      <c r="C9" s="43">
        <v>773</v>
      </c>
      <c r="D9" s="44">
        <v>1037</v>
      </c>
      <c r="E9" s="44">
        <v>1326</v>
      </c>
      <c r="F9" s="44">
        <v>988</v>
      </c>
      <c r="G9" s="44">
        <v>1247</v>
      </c>
      <c r="H9" s="44">
        <v>1160</v>
      </c>
      <c r="I9" s="44">
        <v>665</v>
      </c>
      <c r="J9" s="44">
        <v>746</v>
      </c>
      <c r="K9" s="44">
        <v>1442</v>
      </c>
      <c r="L9" s="44">
        <f>45+1440+156+416+2+1+193+3</f>
        <v>2256</v>
      </c>
      <c r="M9" s="44">
        <v>1591</v>
      </c>
      <c r="N9" s="45">
        <v>1852</v>
      </c>
      <c r="O9" s="30">
        <f aca="true" t="shared" si="0" ref="O9:O20">SUM(C9:N9)</f>
        <v>15083</v>
      </c>
      <c r="P9" s="75"/>
      <c r="Q9" s="75"/>
      <c r="R9" s="75"/>
      <c r="S9" s="75"/>
      <c r="T9" s="75"/>
      <c r="U9" s="75"/>
      <c r="V9" s="75"/>
    </row>
    <row r="10" spans="1:22" ht="15.75">
      <c r="A10" s="196"/>
      <c r="B10" s="154" t="s">
        <v>106</v>
      </c>
      <c r="C10" s="43">
        <v>9924</v>
      </c>
      <c r="D10" s="44">
        <v>11491</v>
      </c>
      <c r="E10" s="44">
        <v>13293</v>
      </c>
      <c r="F10" s="44">
        <v>13154</v>
      </c>
      <c r="G10" s="44">
        <v>13066</v>
      </c>
      <c r="H10" s="44">
        <v>5643</v>
      </c>
      <c r="I10" s="44">
        <v>5274</v>
      </c>
      <c r="J10" s="44">
        <v>4040</v>
      </c>
      <c r="K10" s="44">
        <v>1230</v>
      </c>
      <c r="L10" s="44">
        <v>552</v>
      </c>
      <c r="M10" s="44">
        <v>4686</v>
      </c>
      <c r="N10" s="45">
        <v>10648</v>
      </c>
      <c r="O10" s="30">
        <f t="shared" si="0"/>
        <v>93001</v>
      </c>
      <c r="P10" s="75"/>
      <c r="Q10" s="75"/>
      <c r="R10" s="75"/>
      <c r="S10" s="75"/>
      <c r="T10" s="75"/>
      <c r="U10" s="75"/>
      <c r="V10" s="75"/>
    </row>
    <row r="11" spans="1:22" ht="15.75">
      <c r="A11" s="196"/>
      <c r="B11" s="154" t="s">
        <v>187</v>
      </c>
      <c r="C11" s="43">
        <v>870</v>
      </c>
      <c r="D11" s="44">
        <v>922</v>
      </c>
      <c r="E11" s="44">
        <v>903</v>
      </c>
      <c r="F11" s="44">
        <v>837</v>
      </c>
      <c r="G11" s="44">
        <v>1001</v>
      </c>
      <c r="H11" s="44">
        <v>558</v>
      </c>
      <c r="I11" s="44">
        <v>574</v>
      </c>
      <c r="J11" s="44">
        <v>443</v>
      </c>
      <c r="K11" s="44">
        <v>572</v>
      </c>
      <c r="L11" s="44">
        <v>560</v>
      </c>
      <c r="M11" s="44">
        <v>853</v>
      </c>
      <c r="N11" s="45">
        <v>949</v>
      </c>
      <c r="O11" s="30">
        <f t="shared" si="0"/>
        <v>9042</v>
      </c>
      <c r="P11" s="75"/>
      <c r="Q11" s="75"/>
      <c r="R11" s="75"/>
      <c r="S11" s="75"/>
      <c r="T11" s="75"/>
      <c r="U11" s="75"/>
      <c r="V11" s="75"/>
    </row>
    <row r="12" spans="1:22" ht="15.75">
      <c r="A12" s="196"/>
      <c r="B12" s="155" t="s">
        <v>188</v>
      </c>
      <c r="C12" s="43">
        <v>1419</v>
      </c>
      <c r="D12" s="44">
        <v>1479</v>
      </c>
      <c r="E12" s="44">
        <v>1460</v>
      </c>
      <c r="F12" s="44">
        <v>755</v>
      </c>
      <c r="G12" s="44">
        <v>922</v>
      </c>
      <c r="H12" s="44">
        <v>879</v>
      </c>
      <c r="I12" s="44">
        <v>990</v>
      </c>
      <c r="J12" s="44">
        <v>771</v>
      </c>
      <c r="K12" s="44">
        <v>1029</v>
      </c>
      <c r="L12" s="44">
        <v>943</v>
      </c>
      <c r="M12" s="44">
        <v>1929</v>
      </c>
      <c r="N12" s="45">
        <v>1879</v>
      </c>
      <c r="O12" s="30">
        <f t="shared" si="0"/>
        <v>14455</v>
      </c>
      <c r="P12" s="75"/>
      <c r="Q12" s="75"/>
      <c r="R12" s="75"/>
      <c r="S12" s="75"/>
      <c r="T12" s="75"/>
      <c r="U12" s="75"/>
      <c r="V12" s="75"/>
    </row>
    <row r="13" spans="1:22" ht="15.75">
      <c r="A13" s="196"/>
      <c r="B13" s="160" t="s">
        <v>189</v>
      </c>
      <c r="C13" s="34">
        <v>679</v>
      </c>
      <c r="D13" s="35">
        <v>829</v>
      </c>
      <c r="E13" s="35">
        <v>869</v>
      </c>
      <c r="F13" s="35">
        <v>908</v>
      </c>
      <c r="G13" s="35">
        <v>448</v>
      </c>
      <c r="H13" s="35">
        <v>640</v>
      </c>
      <c r="I13" s="35">
        <v>815</v>
      </c>
      <c r="J13" s="35">
        <v>595</v>
      </c>
      <c r="K13" s="35">
        <v>698</v>
      </c>
      <c r="L13" s="35">
        <v>646</v>
      </c>
      <c r="M13" s="35">
        <v>677</v>
      </c>
      <c r="N13" s="36">
        <v>839</v>
      </c>
      <c r="O13" s="30">
        <f t="shared" si="0"/>
        <v>8643</v>
      </c>
      <c r="P13" s="75"/>
      <c r="Q13" s="75"/>
      <c r="R13" s="75"/>
      <c r="S13" s="75"/>
      <c r="T13" s="75"/>
      <c r="U13" s="75"/>
      <c r="V13" s="75"/>
    </row>
    <row r="14" spans="1:22" ht="15.75">
      <c r="A14" s="196"/>
      <c r="B14" s="155" t="s">
        <v>190</v>
      </c>
      <c r="C14" s="34">
        <v>677</v>
      </c>
      <c r="D14" s="35">
        <v>511</v>
      </c>
      <c r="E14" s="35">
        <v>811</v>
      </c>
      <c r="F14" s="35">
        <v>411</v>
      </c>
      <c r="G14" s="35">
        <v>442</v>
      </c>
      <c r="H14" s="35">
        <v>248</v>
      </c>
      <c r="I14" s="35">
        <v>538</v>
      </c>
      <c r="J14" s="35">
        <v>390</v>
      </c>
      <c r="K14" s="35">
        <v>527</v>
      </c>
      <c r="L14" s="35">
        <v>366</v>
      </c>
      <c r="M14" s="35">
        <v>679</v>
      </c>
      <c r="N14" s="36">
        <v>764</v>
      </c>
      <c r="O14" s="30">
        <f t="shared" si="0"/>
        <v>6364</v>
      </c>
      <c r="P14" s="75"/>
      <c r="Q14" s="75"/>
      <c r="R14" s="75"/>
      <c r="S14" s="75"/>
      <c r="T14" s="75"/>
      <c r="U14" s="75"/>
      <c r="V14" s="75"/>
    </row>
    <row r="15" spans="1:22" ht="12.75">
      <c r="A15" s="196"/>
      <c r="B15" s="160" t="s">
        <v>191</v>
      </c>
      <c r="C15" s="34">
        <v>938</v>
      </c>
      <c r="D15" s="35">
        <v>956</v>
      </c>
      <c r="E15" s="35">
        <v>691</v>
      </c>
      <c r="F15" s="35">
        <v>479</v>
      </c>
      <c r="G15" s="35">
        <v>310</v>
      </c>
      <c r="H15" s="35">
        <v>249</v>
      </c>
      <c r="I15" s="35">
        <v>330</v>
      </c>
      <c r="J15" s="35">
        <v>368</v>
      </c>
      <c r="K15" s="35">
        <v>931</v>
      </c>
      <c r="L15" s="35">
        <v>723</v>
      </c>
      <c r="M15" s="35">
        <v>811</v>
      </c>
      <c r="N15" s="36">
        <v>1199</v>
      </c>
      <c r="O15" s="30">
        <f t="shared" si="0"/>
        <v>7985</v>
      </c>
      <c r="P15" s="76"/>
      <c r="Q15" s="76"/>
      <c r="R15" s="76"/>
      <c r="S15" s="76"/>
      <c r="T15" s="76"/>
      <c r="U15" s="76"/>
      <c r="V15" s="76"/>
    </row>
    <row r="16" spans="1:22" ht="12.75">
      <c r="A16" s="196"/>
      <c r="B16" s="155" t="s">
        <v>92</v>
      </c>
      <c r="C16" s="34">
        <v>6044</v>
      </c>
      <c r="D16" s="35">
        <v>5700</v>
      </c>
      <c r="E16" s="35">
        <v>4967</v>
      </c>
      <c r="F16" s="35">
        <v>1509</v>
      </c>
      <c r="G16" s="35">
        <v>16</v>
      </c>
      <c r="H16" s="35">
        <v>547</v>
      </c>
      <c r="I16" s="35">
        <v>696</v>
      </c>
      <c r="J16" s="35">
        <v>655</v>
      </c>
      <c r="K16" s="35">
        <v>5796</v>
      </c>
      <c r="L16" s="35">
        <v>6371</v>
      </c>
      <c r="M16" s="35">
        <v>4692</v>
      </c>
      <c r="N16" s="36">
        <v>3663</v>
      </c>
      <c r="O16" s="30">
        <f t="shared" si="0"/>
        <v>40656</v>
      </c>
      <c r="P16" s="76"/>
      <c r="Q16" s="76"/>
      <c r="R16" s="76"/>
      <c r="S16" s="76"/>
      <c r="T16" s="76"/>
      <c r="U16" s="76"/>
      <c r="V16" s="76"/>
    </row>
    <row r="17" spans="1:39" s="7" customFormat="1" ht="12">
      <c r="A17" s="196"/>
      <c r="B17" s="155" t="s">
        <v>192</v>
      </c>
      <c r="C17" s="34">
        <v>0</v>
      </c>
      <c r="D17" s="35">
        <v>81</v>
      </c>
      <c r="E17" s="35">
        <v>128</v>
      </c>
      <c r="F17" s="35">
        <v>47</v>
      </c>
      <c r="G17" s="35">
        <v>7</v>
      </c>
      <c r="H17" s="35">
        <v>13</v>
      </c>
      <c r="I17" s="35">
        <v>0</v>
      </c>
      <c r="J17" s="83">
        <v>0</v>
      </c>
      <c r="K17" s="35">
        <v>0</v>
      </c>
      <c r="L17" s="35">
        <v>0</v>
      </c>
      <c r="M17" s="35">
        <v>19</v>
      </c>
      <c r="N17" s="36">
        <v>25</v>
      </c>
      <c r="O17" s="30">
        <f t="shared" si="0"/>
        <v>320</v>
      </c>
      <c r="P17" s="77"/>
      <c r="Q17" s="78"/>
      <c r="R17" s="78"/>
      <c r="S17" s="77"/>
      <c r="T17" s="77"/>
      <c r="U17" s="78"/>
      <c r="V17" s="78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20" s="12" customFormat="1" ht="12.75">
      <c r="A18" s="196"/>
      <c r="B18" s="160" t="s">
        <v>222</v>
      </c>
      <c r="C18" s="34">
        <v>49</v>
      </c>
      <c r="D18" s="35">
        <v>239</v>
      </c>
      <c r="E18" s="35">
        <v>229</v>
      </c>
      <c r="F18" s="35">
        <v>552</v>
      </c>
      <c r="G18" s="35">
        <v>492</v>
      </c>
      <c r="H18" s="35">
        <v>249</v>
      </c>
      <c r="I18" s="35">
        <v>366</v>
      </c>
      <c r="J18" s="35">
        <v>132</v>
      </c>
      <c r="K18" s="35">
        <v>195</v>
      </c>
      <c r="L18" s="35">
        <v>254</v>
      </c>
      <c r="M18" s="35">
        <v>237</v>
      </c>
      <c r="N18" s="36">
        <v>274</v>
      </c>
      <c r="O18" s="30">
        <f t="shared" si="0"/>
        <v>3268</v>
      </c>
      <c r="P18" s="79"/>
      <c r="Q18" s="79"/>
      <c r="R18" s="79"/>
      <c r="S18" s="79"/>
      <c r="T18" s="79"/>
    </row>
    <row r="19" spans="1:20" s="12" customFormat="1" ht="12.75">
      <c r="A19" s="196"/>
      <c r="B19" s="155" t="s">
        <v>193</v>
      </c>
      <c r="C19" s="34">
        <v>756</v>
      </c>
      <c r="D19" s="35">
        <v>999</v>
      </c>
      <c r="E19" s="35">
        <v>677</v>
      </c>
      <c r="F19" s="35">
        <v>1135</v>
      </c>
      <c r="G19" s="35">
        <v>0</v>
      </c>
      <c r="H19" s="35">
        <v>139</v>
      </c>
      <c r="I19" s="35">
        <v>1239</v>
      </c>
      <c r="J19" s="35">
        <v>773</v>
      </c>
      <c r="K19" s="35">
        <v>1255</v>
      </c>
      <c r="L19" s="35">
        <v>1885</v>
      </c>
      <c r="M19" s="35">
        <v>1957</v>
      </c>
      <c r="N19" s="36">
        <v>1584</v>
      </c>
      <c r="O19" s="30">
        <f t="shared" si="0"/>
        <v>12399</v>
      </c>
      <c r="P19" s="79"/>
      <c r="Q19" s="79"/>
      <c r="R19" s="79"/>
      <c r="S19" s="79"/>
      <c r="T19" s="79"/>
    </row>
    <row r="20" spans="1:20" s="12" customFormat="1" ht="13.5" thickBot="1">
      <c r="A20" s="196"/>
      <c r="B20" s="158" t="s">
        <v>194</v>
      </c>
      <c r="C20" s="34">
        <v>83</v>
      </c>
      <c r="D20" s="35">
        <v>239</v>
      </c>
      <c r="E20" s="35">
        <v>112</v>
      </c>
      <c r="F20" s="35">
        <v>157</v>
      </c>
      <c r="G20" s="35">
        <v>15</v>
      </c>
      <c r="H20" s="35">
        <v>611</v>
      </c>
      <c r="I20" s="35">
        <v>184</v>
      </c>
      <c r="J20" s="35">
        <v>66</v>
      </c>
      <c r="K20" s="35">
        <v>92</v>
      </c>
      <c r="L20" s="35">
        <v>304</v>
      </c>
      <c r="M20" s="35">
        <v>197</v>
      </c>
      <c r="N20" s="36">
        <v>167</v>
      </c>
      <c r="O20" s="30">
        <f t="shared" si="0"/>
        <v>2227</v>
      </c>
      <c r="P20" s="79"/>
      <c r="Q20" s="79"/>
      <c r="R20" s="79"/>
      <c r="S20" s="79"/>
      <c r="T20" s="79"/>
    </row>
    <row r="21" spans="1:38" s="9" customFormat="1" ht="13.5" thickBot="1">
      <c r="A21" s="199"/>
      <c r="B21" s="81" t="s">
        <v>174</v>
      </c>
      <c r="C21" s="84">
        <f>SUM(C7:C20)</f>
        <v>33537</v>
      </c>
      <c r="D21" s="84">
        <f>SUM(D7:D20)</f>
        <v>35442</v>
      </c>
      <c r="E21" s="84">
        <f aca="true" t="shared" si="1" ref="E21:N21">SUM(E7:E20)</f>
        <v>37560</v>
      </c>
      <c r="F21" s="84">
        <f t="shared" si="1"/>
        <v>30915</v>
      </c>
      <c r="G21" s="84">
        <f t="shared" si="1"/>
        <v>27220</v>
      </c>
      <c r="H21" s="84">
        <f t="shared" si="1"/>
        <v>19106</v>
      </c>
      <c r="I21" s="84">
        <f t="shared" si="1"/>
        <v>19535</v>
      </c>
      <c r="J21" s="84">
        <f t="shared" si="1"/>
        <v>16287</v>
      </c>
      <c r="K21" s="84">
        <f t="shared" si="1"/>
        <v>21739</v>
      </c>
      <c r="L21" s="84">
        <f t="shared" si="1"/>
        <v>21579</v>
      </c>
      <c r="M21" s="84">
        <f t="shared" si="1"/>
        <v>27869</v>
      </c>
      <c r="N21" s="84">
        <f t="shared" si="1"/>
        <v>34872</v>
      </c>
      <c r="O21" s="33">
        <f>SUM(C21:N21)</f>
        <v>325661</v>
      </c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39" s="9" customFormat="1" ht="9.75" customHeight="1">
      <c r="A22" s="14"/>
      <c r="B22" s="11"/>
      <c r="C22" s="80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1:38" s="9" customFormat="1" ht="18.75">
      <c r="A23" s="6" t="s">
        <v>184</v>
      </c>
      <c r="B23" s="23"/>
      <c r="C23" s="7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1:39" s="9" customFormat="1" ht="12.75">
      <c r="A24" s="5" t="s">
        <v>148</v>
      </c>
      <c r="B24" s="23"/>
      <c r="C24" s="7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</row>
    <row r="25" spans="1:35" s="9" customFormat="1" ht="12.75">
      <c r="A25" s="13" t="s">
        <v>217</v>
      </c>
      <c r="B25" s="10"/>
      <c r="C25" s="7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:35" s="9" customFormat="1" ht="9.75" customHeight="1" thickBot="1">
      <c r="A26" s="13"/>
      <c r="B26" s="10"/>
      <c r="C26" s="7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1:35" s="9" customFormat="1" ht="13.5" thickBot="1">
      <c r="A27" s="4"/>
      <c r="B27" s="10"/>
      <c r="C27" s="185">
        <v>2007</v>
      </c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7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1:39" s="9" customFormat="1" ht="48" thickBot="1">
      <c r="A28" s="4"/>
      <c r="B28" s="10"/>
      <c r="C28" s="51" t="s">
        <v>77</v>
      </c>
      <c r="D28" s="53" t="s">
        <v>78</v>
      </c>
      <c r="E28" s="53" t="s">
        <v>79</v>
      </c>
      <c r="F28" s="53" t="s">
        <v>80</v>
      </c>
      <c r="G28" s="53" t="s">
        <v>81</v>
      </c>
      <c r="H28" s="53" t="s">
        <v>82</v>
      </c>
      <c r="I28" s="53" t="s">
        <v>83</v>
      </c>
      <c r="J28" s="53" t="s">
        <v>84</v>
      </c>
      <c r="K28" s="53" t="s">
        <v>85</v>
      </c>
      <c r="L28" s="53" t="s">
        <v>86</v>
      </c>
      <c r="M28" s="53" t="s">
        <v>87</v>
      </c>
      <c r="N28" s="52" t="s">
        <v>88</v>
      </c>
      <c r="O28" s="73" t="s">
        <v>89</v>
      </c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</row>
    <row r="29" spans="1:39" s="9" customFormat="1" ht="12.75">
      <c r="A29" s="195" t="s">
        <v>182</v>
      </c>
      <c r="B29" s="153" t="s">
        <v>185</v>
      </c>
      <c r="C29" s="39">
        <v>12</v>
      </c>
      <c r="D29" s="40">
        <v>0</v>
      </c>
      <c r="E29" s="40">
        <v>0</v>
      </c>
      <c r="F29" s="40">
        <v>116</v>
      </c>
      <c r="G29" s="40">
        <v>0</v>
      </c>
      <c r="H29" s="40">
        <v>35</v>
      </c>
      <c r="I29" s="40">
        <v>73</v>
      </c>
      <c r="J29" s="40">
        <v>52</v>
      </c>
      <c r="K29" s="40">
        <v>49</v>
      </c>
      <c r="L29" s="40">
        <v>17</v>
      </c>
      <c r="M29" s="40">
        <v>0</v>
      </c>
      <c r="N29" s="41">
        <v>0</v>
      </c>
      <c r="O29" s="82">
        <f>SUM(C29:N29)</f>
        <v>354</v>
      </c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1:39" s="9" customFormat="1" ht="12.75">
      <c r="A30" s="196"/>
      <c r="B30" s="154" t="s">
        <v>186</v>
      </c>
      <c r="C30" s="43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5">
        <v>0</v>
      </c>
      <c r="O30" s="46">
        <f>SUM(C30:N30)</f>
        <v>0</v>
      </c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1:39" s="9" customFormat="1" ht="12.75">
      <c r="A31" s="196"/>
      <c r="B31" s="154" t="s">
        <v>105</v>
      </c>
      <c r="C31" s="43">
        <v>0</v>
      </c>
      <c r="D31" s="44">
        <v>0</v>
      </c>
      <c r="E31" s="44">
        <v>0</v>
      </c>
      <c r="F31" s="44">
        <v>1336</v>
      </c>
      <c r="G31" s="44">
        <v>2361</v>
      </c>
      <c r="H31" s="44">
        <v>15</v>
      </c>
      <c r="I31" s="44">
        <v>0</v>
      </c>
      <c r="J31" s="44">
        <v>318</v>
      </c>
      <c r="K31" s="44">
        <v>110</v>
      </c>
      <c r="L31" s="44">
        <v>94</v>
      </c>
      <c r="M31" s="44">
        <v>146</v>
      </c>
      <c r="N31" s="45">
        <v>0</v>
      </c>
      <c r="O31" s="46">
        <f aca="true" t="shared" si="2" ref="O31:O43">SUM(C31:N31)</f>
        <v>4380</v>
      </c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</row>
    <row r="32" spans="1:39" s="9" customFormat="1" ht="12.75">
      <c r="A32" s="196"/>
      <c r="B32" s="154" t="s">
        <v>106</v>
      </c>
      <c r="C32" s="43">
        <v>185</v>
      </c>
      <c r="D32" s="44">
        <v>239</v>
      </c>
      <c r="E32" s="44">
        <v>278</v>
      </c>
      <c r="F32" s="44">
        <v>123</v>
      </c>
      <c r="G32" s="44">
        <v>46</v>
      </c>
      <c r="H32" s="44">
        <v>43</v>
      </c>
      <c r="I32" s="44">
        <v>62</v>
      </c>
      <c r="J32" s="44">
        <v>1274</v>
      </c>
      <c r="K32" s="44">
        <v>3656</v>
      </c>
      <c r="L32" s="44">
        <v>1320</v>
      </c>
      <c r="M32" s="44">
        <v>453</v>
      </c>
      <c r="N32" s="45">
        <v>101</v>
      </c>
      <c r="O32" s="46">
        <f t="shared" si="2"/>
        <v>7780</v>
      </c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1:39" s="9" customFormat="1" ht="12.75">
      <c r="A33" s="196"/>
      <c r="B33" s="154" t="s">
        <v>187</v>
      </c>
      <c r="C33" s="43">
        <v>0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5">
        <v>0</v>
      </c>
      <c r="O33" s="46">
        <f t="shared" si="2"/>
        <v>0</v>
      </c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 spans="1:39" s="9" customFormat="1" ht="12.75">
      <c r="A34" s="196"/>
      <c r="B34" s="155" t="s">
        <v>188</v>
      </c>
      <c r="C34" s="43">
        <v>0</v>
      </c>
      <c r="D34" s="44">
        <v>0</v>
      </c>
      <c r="E34" s="44">
        <v>22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5">
        <v>0</v>
      </c>
      <c r="O34" s="46">
        <f t="shared" si="2"/>
        <v>22</v>
      </c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 spans="1:39" s="9" customFormat="1" ht="12.75">
      <c r="A35" s="196"/>
      <c r="B35" s="160" t="s">
        <v>189</v>
      </c>
      <c r="C35" s="34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44">
        <v>0</v>
      </c>
      <c r="J35" s="35">
        <v>0</v>
      </c>
      <c r="K35" s="35">
        <v>0</v>
      </c>
      <c r="L35" s="35">
        <v>0</v>
      </c>
      <c r="M35" s="35">
        <v>0</v>
      </c>
      <c r="N35" s="36">
        <v>0</v>
      </c>
      <c r="O35" s="46">
        <f t="shared" si="2"/>
        <v>0</v>
      </c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</row>
    <row r="36" spans="1:39" s="9" customFormat="1" ht="12.75">
      <c r="A36" s="196"/>
      <c r="B36" s="155" t="s">
        <v>190</v>
      </c>
      <c r="C36" s="34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44">
        <v>0</v>
      </c>
      <c r="J36" s="35">
        <v>0</v>
      </c>
      <c r="K36" s="35">
        <v>0</v>
      </c>
      <c r="L36" s="35">
        <v>0</v>
      </c>
      <c r="M36" s="35">
        <v>0</v>
      </c>
      <c r="N36" s="36">
        <v>0</v>
      </c>
      <c r="O36" s="46">
        <f t="shared" si="2"/>
        <v>0</v>
      </c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</row>
    <row r="37" spans="1:39" s="9" customFormat="1" ht="12.75">
      <c r="A37" s="196"/>
      <c r="B37" s="160" t="s">
        <v>191</v>
      </c>
      <c r="C37" s="34">
        <v>0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44">
        <v>0</v>
      </c>
      <c r="J37" s="35">
        <v>0</v>
      </c>
      <c r="K37" s="35">
        <v>0</v>
      </c>
      <c r="L37" s="35">
        <v>20</v>
      </c>
      <c r="M37" s="35">
        <v>0</v>
      </c>
      <c r="N37" s="36">
        <v>0</v>
      </c>
      <c r="O37" s="46">
        <f t="shared" si="2"/>
        <v>20</v>
      </c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spans="1:39" s="9" customFormat="1" ht="12.75">
      <c r="A38" s="196"/>
      <c r="B38" s="155" t="s">
        <v>92</v>
      </c>
      <c r="C38" s="34">
        <v>42</v>
      </c>
      <c r="D38" s="35">
        <v>6</v>
      </c>
      <c r="E38" s="35">
        <v>110</v>
      </c>
      <c r="F38" s="35">
        <v>318</v>
      </c>
      <c r="G38" s="35">
        <v>0</v>
      </c>
      <c r="H38" s="35">
        <v>0</v>
      </c>
      <c r="I38" s="44">
        <v>0</v>
      </c>
      <c r="J38" s="35">
        <v>72</v>
      </c>
      <c r="K38" s="35">
        <v>178</v>
      </c>
      <c r="L38" s="35">
        <v>461</v>
      </c>
      <c r="M38" s="35">
        <v>178</v>
      </c>
      <c r="N38" s="36">
        <v>31</v>
      </c>
      <c r="O38" s="46">
        <f t="shared" si="2"/>
        <v>1396</v>
      </c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</row>
    <row r="39" spans="1:39" s="9" customFormat="1" ht="12.75">
      <c r="A39" s="196"/>
      <c r="B39" s="155" t="s">
        <v>192</v>
      </c>
      <c r="C39" s="34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44">
        <v>0</v>
      </c>
      <c r="J39" s="35">
        <v>0</v>
      </c>
      <c r="K39" s="35">
        <v>0</v>
      </c>
      <c r="L39" s="35">
        <v>0</v>
      </c>
      <c r="M39" s="35">
        <v>0</v>
      </c>
      <c r="N39" s="36">
        <v>0</v>
      </c>
      <c r="O39" s="46">
        <f t="shared" si="2"/>
        <v>0</v>
      </c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</row>
    <row r="40" spans="1:39" s="9" customFormat="1" ht="12.75">
      <c r="A40" s="196"/>
      <c r="B40" s="160" t="s">
        <v>222</v>
      </c>
      <c r="C40" s="34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44">
        <v>0</v>
      </c>
      <c r="J40" s="35">
        <v>0</v>
      </c>
      <c r="K40" s="35">
        <v>0</v>
      </c>
      <c r="L40" s="35">
        <v>0</v>
      </c>
      <c r="M40" s="35">
        <v>0</v>
      </c>
      <c r="N40" s="36">
        <v>0</v>
      </c>
      <c r="O40" s="46">
        <f t="shared" si="2"/>
        <v>0</v>
      </c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</row>
    <row r="41" spans="1:39" s="9" customFormat="1" ht="12.75">
      <c r="A41" s="196"/>
      <c r="B41" s="155" t="s">
        <v>193</v>
      </c>
      <c r="C41" s="34">
        <v>0</v>
      </c>
      <c r="D41" s="35">
        <v>9</v>
      </c>
      <c r="E41" s="35">
        <v>37</v>
      </c>
      <c r="F41" s="35">
        <v>2</v>
      </c>
      <c r="G41" s="35">
        <v>0</v>
      </c>
      <c r="H41" s="35">
        <v>0</v>
      </c>
      <c r="I41" s="44">
        <v>0</v>
      </c>
      <c r="J41" s="35">
        <v>20</v>
      </c>
      <c r="K41" s="35">
        <v>0</v>
      </c>
      <c r="L41" s="35">
        <v>0</v>
      </c>
      <c r="M41" s="35">
        <v>0</v>
      </c>
      <c r="N41" s="36">
        <v>9</v>
      </c>
      <c r="O41" s="46">
        <f t="shared" si="2"/>
        <v>77</v>
      </c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</row>
    <row r="42" spans="1:39" s="9" customFormat="1" ht="12.75">
      <c r="A42" s="196"/>
      <c r="B42" s="158" t="s">
        <v>195</v>
      </c>
      <c r="C42" s="34">
        <v>0</v>
      </c>
      <c r="D42" s="35">
        <v>54</v>
      </c>
      <c r="E42" s="35">
        <v>139</v>
      </c>
      <c r="F42" s="35">
        <v>24</v>
      </c>
      <c r="G42" s="35">
        <v>61</v>
      </c>
      <c r="H42" s="35">
        <v>142</v>
      </c>
      <c r="I42" s="44">
        <v>39</v>
      </c>
      <c r="J42" s="35">
        <v>0</v>
      </c>
      <c r="K42" s="35">
        <v>24</v>
      </c>
      <c r="L42" s="35">
        <v>0</v>
      </c>
      <c r="M42" s="35">
        <v>0</v>
      </c>
      <c r="N42" s="36">
        <v>0</v>
      </c>
      <c r="O42" s="46">
        <f t="shared" si="2"/>
        <v>483</v>
      </c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</row>
    <row r="43" spans="1:39" s="9" customFormat="1" ht="13.5" thickBot="1">
      <c r="A43" s="196"/>
      <c r="B43" s="158" t="s">
        <v>194</v>
      </c>
      <c r="C43" s="57">
        <v>91</v>
      </c>
      <c r="D43" s="37">
        <v>125</v>
      </c>
      <c r="E43" s="37">
        <v>130</v>
      </c>
      <c r="F43" s="37">
        <v>116</v>
      </c>
      <c r="G43" s="37">
        <v>184</v>
      </c>
      <c r="H43" s="37">
        <v>142</v>
      </c>
      <c r="I43" s="89">
        <v>68</v>
      </c>
      <c r="J43" s="37">
        <v>73</v>
      </c>
      <c r="K43" s="37">
        <v>39</v>
      </c>
      <c r="L43" s="37">
        <v>89</v>
      </c>
      <c r="M43" s="37">
        <v>73</v>
      </c>
      <c r="N43" s="38">
        <v>83</v>
      </c>
      <c r="O43" s="99">
        <f t="shared" si="2"/>
        <v>1213</v>
      </c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1:39" s="9" customFormat="1" ht="13.5" thickBot="1">
      <c r="A44" s="199"/>
      <c r="B44" s="81" t="s">
        <v>174</v>
      </c>
      <c r="C44" s="84">
        <f>SUM(C29:C43)</f>
        <v>330</v>
      </c>
      <c r="D44" s="84">
        <f>SUM(D29:D43)</f>
        <v>433</v>
      </c>
      <c r="E44" s="84">
        <f aca="true" t="shared" si="3" ref="E44:N44">SUM(E29:E43)</f>
        <v>716</v>
      </c>
      <c r="F44" s="84">
        <f t="shared" si="3"/>
        <v>2035</v>
      </c>
      <c r="G44" s="84">
        <f t="shared" si="3"/>
        <v>2652</v>
      </c>
      <c r="H44" s="84">
        <f t="shared" si="3"/>
        <v>377</v>
      </c>
      <c r="I44" s="84">
        <f t="shared" si="3"/>
        <v>242</v>
      </c>
      <c r="J44" s="84">
        <f t="shared" si="3"/>
        <v>1809</v>
      </c>
      <c r="K44" s="84">
        <f t="shared" si="3"/>
        <v>4056</v>
      </c>
      <c r="L44" s="84">
        <f t="shared" si="3"/>
        <v>2001</v>
      </c>
      <c r="M44" s="84">
        <f t="shared" si="3"/>
        <v>850</v>
      </c>
      <c r="N44" s="84">
        <f t="shared" si="3"/>
        <v>224</v>
      </c>
      <c r="O44" s="85">
        <f>SUM(C44:N44)</f>
        <v>15725</v>
      </c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</row>
    <row r="45" spans="1:39" s="9" customFormat="1" ht="12.75">
      <c r="A45" s="14"/>
      <c r="B45" s="11"/>
      <c r="C45" s="80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</row>
    <row r="46" spans="1:39" s="9" customFormat="1" ht="12.75">
      <c r="A46" s="14"/>
      <c r="B46" s="11"/>
      <c r="C46" s="80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1:39" s="9" customFormat="1" ht="12.75">
      <c r="A47" s="14"/>
      <c r="B47" s="11"/>
      <c r="C47" s="80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48" spans="1:39" s="9" customFormat="1" ht="12.75">
      <c r="A48" s="14"/>
      <c r="B48" s="11"/>
      <c r="C48" s="80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</row>
    <row r="49" spans="1:39" s="9" customFormat="1" ht="12.75">
      <c r="A49" s="14"/>
      <c r="B49" s="11"/>
      <c r="C49" s="80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</row>
    <row r="50" spans="1:39" s="9" customFormat="1" ht="12.75">
      <c r="A50" s="14"/>
      <c r="B50" s="11"/>
      <c r="C50" s="80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</row>
    <row r="51" spans="1:39" s="9" customFormat="1" ht="12.75">
      <c r="A51" s="14"/>
      <c r="B51" s="11"/>
      <c r="C51" s="80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</row>
    <row r="52" spans="1:39" s="9" customFormat="1" ht="12.75">
      <c r="A52" s="14"/>
      <c r="B52" s="11"/>
      <c r="C52" s="80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</row>
    <row r="53" spans="1:39" s="9" customFormat="1" ht="12.75">
      <c r="A53" s="14"/>
      <c r="B53" s="11"/>
      <c r="C53" s="80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</row>
    <row r="54" spans="1:39" s="9" customFormat="1" ht="12.75">
      <c r="A54" s="14"/>
      <c r="B54" s="11"/>
      <c r="C54" s="80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</row>
    <row r="55" spans="1:39" s="9" customFormat="1" ht="12.75">
      <c r="A55" s="14"/>
      <c r="B55" s="11"/>
      <c r="C55" s="80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</row>
    <row r="56" spans="1:39" s="9" customFormat="1" ht="12.75">
      <c r="A56" s="14"/>
      <c r="B56" s="11"/>
      <c r="C56" s="80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</row>
    <row r="57" spans="1:39" s="9" customFormat="1" ht="12.75">
      <c r="A57" s="14"/>
      <c r="B57" s="11"/>
      <c r="C57" s="80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1:39" s="9" customFormat="1" ht="12.75">
      <c r="A58" s="14"/>
      <c r="B58" s="11"/>
      <c r="C58" s="80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1:39" s="9" customFormat="1" ht="12.75">
      <c r="A59" s="14"/>
      <c r="B59" s="11"/>
      <c r="C59" s="80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1:39" s="9" customFormat="1" ht="12.75">
      <c r="A60" s="14"/>
      <c r="B60" s="11"/>
      <c r="C60" s="80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  <row r="61" spans="1:39" s="9" customFormat="1" ht="12.75">
      <c r="A61" s="14"/>
      <c r="B61" s="11"/>
      <c r="C61" s="80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</row>
    <row r="62" spans="1:39" s="9" customFormat="1" ht="12.75">
      <c r="A62" s="14"/>
      <c r="B62" s="11"/>
      <c r="C62" s="80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</row>
    <row r="63" spans="1:39" s="9" customFormat="1" ht="12.75">
      <c r="A63" s="14"/>
      <c r="B63" s="11"/>
      <c r="C63" s="80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</row>
    <row r="64" spans="1:39" s="9" customFormat="1" ht="12.75">
      <c r="A64" s="14"/>
      <c r="B64" s="11"/>
      <c r="C64" s="80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</row>
    <row r="65" spans="1:39" s="9" customFormat="1" ht="12.75">
      <c r="A65" s="14"/>
      <c r="B65" s="11"/>
      <c r="C65" s="80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</row>
    <row r="66" spans="1:39" s="9" customFormat="1" ht="12.75">
      <c r="A66" s="14"/>
      <c r="B66" s="11"/>
      <c r="C66" s="80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</row>
    <row r="67" spans="1:39" s="9" customFormat="1" ht="12.75">
      <c r="A67" s="14"/>
      <c r="B67" s="11"/>
      <c r="C67" s="80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</row>
    <row r="68" spans="1:39" s="9" customFormat="1" ht="12.75">
      <c r="A68" s="14"/>
      <c r="B68" s="11"/>
      <c r="C68" s="80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</row>
    <row r="69" spans="1:39" s="9" customFormat="1" ht="12.75">
      <c r="A69" s="14"/>
      <c r="B69" s="11"/>
      <c r="C69" s="80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</row>
    <row r="70" spans="1:39" s="9" customFormat="1" ht="12.75">
      <c r="A70" s="14"/>
      <c r="B70" s="11"/>
      <c r="C70" s="80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</row>
    <row r="71" spans="1:39" s="9" customFormat="1" ht="12.75">
      <c r="A71" s="14"/>
      <c r="B71" s="11"/>
      <c r="C71" s="80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</row>
    <row r="72" spans="1:39" s="9" customFormat="1" ht="12.75">
      <c r="A72" s="14"/>
      <c r="B72" s="11"/>
      <c r="C72" s="80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</row>
    <row r="73" spans="1:39" s="9" customFormat="1" ht="12.75">
      <c r="A73" s="14"/>
      <c r="B73" s="11"/>
      <c r="C73" s="80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</row>
    <row r="74" spans="1:39" s="9" customFormat="1" ht="12.75">
      <c r="A74" s="14"/>
      <c r="B74" s="11"/>
      <c r="C74" s="80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</row>
    <row r="75" spans="1:39" s="9" customFormat="1" ht="12.75">
      <c r="A75" s="14"/>
      <c r="B75" s="11"/>
      <c r="C75" s="80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</row>
    <row r="76" spans="1:39" s="9" customFormat="1" ht="12.75">
      <c r="A76" s="14"/>
      <c r="B76" s="11"/>
      <c r="C76" s="80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</row>
    <row r="77" spans="1:39" s="9" customFormat="1" ht="12.75">
      <c r="A77" s="14"/>
      <c r="B77" s="11"/>
      <c r="C77" s="80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</row>
    <row r="78" spans="1:39" s="9" customFormat="1" ht="12.75">
      <c r="A78" s="14"/>
      <c r="B78" s="11"/>
      <c r="C78" s="80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</row>
    <row r="79" spans="1:39" s="9" customFormat="1" ht="12.75">
      <c r="A79" s="14"/>
      <c r="B79" s="11"/>
      <c r="C79" s="80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</row>
    <row r="80" spans="1:39" s="9" customFormat="1" ht="12.75">
      <c r="A80" s="14"/>
      <c r="B80" s="11"/>
      <c r="C80" s="80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</row>
    <row r="81" spans="1:39" s="9" customFormat="1" ht="12.75">
      <c r="A81" s="14"/>
      <c r="B81" s="11"/>
      <c r="C81" s="80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</row>
    <row r="82" spans="1:39" s="9" customFormat="1" ht="12.75">
      <c r="A82" s="14"/>
      <c r="B82" s="11"/>
      <c r="C82" s="80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</row>
    <row r="83" spans="1:39" s="9" customFormat="1" ht="12.75">
      <c r="A83" s="14"/>
      <c r="B83" s="11"/>
      <c r="C83" s="80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</row>
    <row r="84" spans="1:39" s="9" customFormat="1" ht="12.75">
      <c r="A84" s="14"/>
      <c r="B84" s="11"/>
      <c r="C84" s="80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</row>
    <row r="85" spans="1:39" s="9" customFormat="1" ht="12.75">
      <c r="A85" s="14"/>
      <c r="B85" s="11"/>
      <c r="C85" s="80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</row>
    <row r="86" spans="1:39" s="9" customFormat="1" ht="12.75">
      <c r="A86" s="14"/>
      <c r="B86" s="11"/>
      <c r="C86" s="80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</row>
    <row r="87" spans="1:39" s="9" customFormat="1" ht="12.75">
      <c r="A87" s="14"/>
      <c r="B87" s="11"/>
      <c r="C87" s="80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</row>
    <row r="88" spans="1:39" s="9" customFormat="1" ht="12.75">
      <c r="A88" s="14"/>
      <c r="B88" s="11"/>
      <c r="C88" s="80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</row>
    <row r="89" spans="1:39" s="9" customFormat="1" ht="12.75">
      <c r="A89" s="14"/>
      <c r="B89" s="11"/>
      <c r="C89" s="80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</row>
    <row r="90" spans="1:39" s="9" customFormat="1" ht="12.75">
      <c r="A90" s="14"/>
      <c r="B90" s="11"/>
      <c r="C90" s="80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</row>
    <row r="91" spans="1:39" s="9" customFormat="1" ht="12.75">
      <c r="A91" s="14"/>
      <c r="B91" s="11"/>
      <c r="C91" s="80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</row>
    <row r="92" spans="1:39" s="9" customFormat="1" ht="12.75">
      <c r="A92" s="14"/>
      <c r="B92" s="11"/>
      <c r="C92" s="80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</row>
    <row r="93" spans="1:39" s="9" customFormat="1" ht="12.75">
      <c r="A93" s="14"/>
      <c r="B93" s="11"/>
      <c r="C93" s="80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</row>
    <row r="94" spans="1:39" s="9" customFormat="1" ht="12.75">
      <c r="A94" s="14"/>
      <c r="B94" s="11"/>
      <c r="C94" s="80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</row>
    <row r="95" spans="1:39" s="9" customFormat="1" ht="12.75">
      <c r="A95" s="14"/>
      <c r="B95" s="11"/>
      <c r="C95" s="80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</row>
    <row r="96" spans="1:39" s="9" customFormat="1" ht="12.75">
      <c r="A96" s="14"/>
      <c r="B96" s="11"/>
      <c r="C96" s="80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</row>
    <row r="97" spans="1:39" s="9" customFormat="1" ht="12.75">
      <c r="A97" s="14"/>
      <c r="B97" s="11"/>
      <c r="C97" s="80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</row>
    <row r="98" spans="1:39" s="9" customFormat="1" ht="12.75">
      <c r="A98" s="14"/>
      <c r="B98" s="11"/>
      <c r="C98" s="80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</row>
    <row r="99" spans="1:39" s="9" customFormat="1" ht="12.75">
      <c r="A99" s="14"/>
      <c r="B99" s="11"/>
      <c r="C99" s="80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</row>
    <row r="100" spans="1:39" s="9" customFormat="1" ht="12.75">
      <c r="A100" s="14"/>
      <c r="B100" s="11"/>
      <c r="C100" s="80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</row>
    <row r="101" spans="1:39" s="9" customFormat="1" ht="12.75">
      <c r="A101" s="14"/>
      <c r="B101" s="11"/>
      <c r="C101" s="80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</row>
    <row r="102" spans="1:39" s="9" customFormat="1" ht="12.75">
      <c r="A102" s="14"/>
      <c r="B102" s="11"/>
      <c r="C102" s="80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</row>
    <row r="103" spans="1:39" s="9" customFormat="1" ht="12.75">
      <c r="A103" s="14"/>
      <c r="B103" s="11"/>
      <c r="C103" s="80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</row>
    <row r="104" spans="1:39" s="9" customFormat="1" ht="12.75">
      <c r="A104" s="14"/>
      <c r="B104" s="11"/>
      <c r="C104" s="80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</row>
    <row r="105" spans="1:39" s="9" customFormat="1" ht="12.75">
      <c r="A105" s="14"/>
      <c r="B105" s="11"/>
      <c r="C105" s="80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</row>
    <row r="106" spans="1:39" s="9" customFormat="1" ht="12.75">
      <c r="A106" s="14"/>
      <c r="B106" s="11"/>
      <c r="C106" s="80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</row>
    <row r="107" spans="1:39" s="9" customFormat="1" ht="12.75">
      <c r="A107" s="14"/>
      <c r="B107" s="11"/>
      <c r="C107" s="80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</row>
    <row r="108" spans="1:39" s="9" customFormat="1" ht="12.75">
      <c r="A108" s="14"/>
      <c r="B108" s="11"/>
      <c r="C108" s="80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</row>
    <row r="109" spans="1:39" s="9" customFormat="1" ht="12.75">
      <c r="A109" s="14"/>
      <c r="B109" s="11"/>
      <c r="C109" s="80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</row>
    <row r="110" spans="1:39" s="9" customFormat="1" ht="12.75">
      <c r="A110" s="14"/>
      <c r="B110" s="11"/>
      <c r="C110" s="80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</row>
    <row r="111" spans="1:39" s="9" customFormat="1" ht="12.75">
      <c r="A111" s="14"/>
      <c r="B111" s="11"/>
      <c r="C111" s="80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</row>
    <row r="112" spans="1:39" s="9" customFormat="1" ht="12.75">
      <c r="A112" s="14"/>
      <c r="B112" s="11"/>
      <c r="C112" s="80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</row>
    <row r="113" spans="1:39" s="9" customFormat="1" ht="12.75">
      <c r="A113" s="14"/>
      <c r="B113" s="11"/>
      <c r="C113" s="80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</row>
    <row r="114" spans="1:39" s="9" customFormat="1" ht="12.75">
      <c r="A114" s="14"/>
      <c r="B114" s="11"/>
      <c r="C114" s="80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</row>
    <row r="115" spans="1:39" s="9" customFormat="1" ht="12.75">
      <c r="A115" s="14"/>
      <c r="B115" s="11"/>
      <c r="C115" s="80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</row>
    <row r="116" spans="1:39" s="9" customFormat="1" ht="12.75">
      <c r="A116" s="14"/>
      <c r="B116" s="11"/>
      <c r="C116" s="80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</row>
    <row r="117" spans="1:39" s="9" customFormat="1" ht="12.75">
      <c r="A117" s="14"/>
      <c r="B117" s="11"/>
      <c r="C117" s="80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</row>
    <row r="118" spans="1:39" s="9" customFormat="1" ht="12.75">
      <c r="A118" s="14"/>
      <c r="B118" s="11"/>
      <c r="C118" s="80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</row>
    <row r="119" spans="1:39" s="9" customFormat="1" ht="12.75">
      <c r="A119" s="14"/>
      <c r="B119" s="11"/>
      <c r="C119" s="80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</row>
    <row r="120" spans="1:39" s="9" customFormat="1" ht="12.75">
      <c r="A120" s="14"/>
      <c r="B120" s="11"/>
      <c r="C120" s="80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</row>
    <row r="121" spans="1:39" s="9" customFormat="1" ht="12.75">
      <c r="A121" s="14"/>
      <c r="B121" s="11"/>
      <c r="C121" s="80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</row>
    <row r="122" spans="1:39" s="9" customFormat="1" ht="12.75">
      <c r="A122" s="14"/>
      <c r="B122" s="11"/>
      <c r="C122" s="80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</row>
    <row r="123" spans="1:39" s="9" customFormat="1" ht="12.75">
      <c r="A123" s="14"/>
      <c r="B123" s="11"/>
      <c r="C123" s="80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</row>
    <row r="124" spans="1:39" s="9" customFormat="1" ht="12.75">
      <c r="A124" s="14"/>
      <c r="B124" s="11"/>
      <c r="C124" s="80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</row>
    <row r="125" spans="1:39" s="9" customFormat="1" ht="12.75">
      <c r="A125" s="14"/>
      <c r="B125" s="11"/>
      <c r="C125" s="80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</row>
    <row r="126" spans="1:39" s="9" customFormat="1" ht="12.75">
      <c r="A126" s="14"/>
      <c r="B126" s="11"/>
      <c r="C126" s="80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</row>
    <row r="127" spans="1:39" s="9" customFormat="1" ht="12.75">
      <c r="A127" s="14"/>
      <c r="B127" s="11"/>
      <c r="C127" s="80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</row>
    <row r="128" spans="1:39" s="9" customFormat="1" ht="12.75">
      <c r="A128" s="14"/>
      <c r="B128" s="11"/>
      <c r="C128" s="80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</row>
    <row r="129" spans="1:39" s="9" customFormat="1" ht="12.75">
      <c r="A129" s="14"/>
      <c r="B129" s="11"/>
      <c r="C129" s="80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</row>
    <row r="130" spans="1:39" s="9" customFormat="1" ht="12.75">
      <c r="A130" s="14"/>
      <c r="B130" s="11"/>
      <c r="C130" s="80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</row>
    <row r="131" spans="1:39" s="9" customFormat="1" ht="12.75">
      <c r="A131" s="14"/>
      <c r="B131" s="11"/>
      <c r="C131" s="80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</row>
    <row r="132" spans="1:39" s="9" customFormat="1" ht="12.75">
      <c r="A132" s="14"/>
      <c r="B132" s="11"/>
      <c r="C132" s="80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</row>
    <row r="133" spans="1:39" s="9" customFormat="1" ht="12.75">
      <c r="A133" s="14"/>
      <c r="B133" s="11"/>
      <c r="C133" s="80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</row>
    <row r="134" spans="1:39" s="9" customFormat="1" ht="12.75">
      <c r="A134" s="14"/>
      <c r="B134" s="11"/>
      <c r="C134" s="80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</row>
    <row r="135" spans="1:39" s="9" customFormat="1" ht="12.75">
      <c r="A135" s="14"/>
      <c r="B135" s="11"/>
      <c r="C135" s="80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</row>
    <row r="136" spans="1:39" s="9" customFormat="1" ht="12.75">
      <c r="A136" s="14"/>
      <c r="B136" s="11"/>
      <c r="C136" s="80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</row>
    <row r="137" spans="1:39" s="9" customFormat="1" ht="12.75">
      <c r="A137" s="14"/>
      <c r="B137" s="11"/>
      <c r="C137" s="80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</row>
    <row r="138" spans="1:39" s="9" customFormat="1" ht="12.75">
      <c r="A138" s="14"/>
      <c r="B138" s="11"/>
      <c r="C138" s="80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</row>
    <row r="139" spans="1:39" s="9" customFormat="1" ht="12.75">
      <c r="A139" s="14"/>
      <c r="B139" s="11"/>
      <c r="C139" s="80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</row>
    <row r="140" spans="1:39" s="9" customFormat="1" ht="12.75">
      <c r="A140" s="14"/>
      <c r="B140" s="11"/>
      <c r="C140" s="80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</row>
    <row r="141" spans="1:39" s="9" customFormat="1" ht="12.75">
      <c r="A141" s="14"/>
      <c r="B141" s="11"/>
      <c r="C141" s="80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</row>
    <row r="142" spans="1:39" s="9" customFormat="1" ht="12.75">
      <c r="A142" s="14"/>
      <c r="B142" s="11"/>
      <c r="C142" s="80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</row>
    <row r="143" spans="1:39" s="9" customFormat="1" ht="12.75">
      <c r="A143" s="14"/>
      <c r="B143" s="11"/>
      <c r="C143" s="80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</row>
    <row r="144" spans="1:39" s="9" customFormat="1" ht="12.75">
      <c r="A144" s="14"/>
      <c r="B144" s="11"/>
      <c r="C144" s="80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</row>
    <row r="145" spans="1:39" s="9" customFormat="1" ht="12.75">
      <c r="A145" s="14"/>
      <c r="B145" s="11"/>
      <c r="C145" s="80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</row>
    <row r="146" spans="1:39" s="9" customFormat="1" ht="12.75">
      <c r="A146" s="14"/>
      <c r="B146" s="11"/>
      <c r="C146" s="80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</row>
    <row r="147" spans="1:39" s="9" customFormat="1" ht="12.75">
      <c r="A147" s="14"/>
      <c r="B147" s="11"/>
      <c r="C147" s="80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</row>
    <row r="148" spans="1:39" s="9" customFormat="1" ht="12.75">
      <c r="A148" s="14"/>
      <c r="B148" s="11"/>
      <c r="C148" s="80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</row>
    <row r="149" spans="1:39" s="9" customFormat="1" ht="12.75">
      <c r="A149" s="14"/>
      <c r="B149" s="11"/>
      <c r="C149" s="80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</row>
    <row r="150" spans="1:39" s="9" customFormat="1" ht="12.75">
      <c r="A150" s="14"/>
      <c r="B150" s="11"/>
      <c r="C150" s="80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</row>
    <row r="151" spans="1:39" s="9" customFormat="1" ht="12.75">
      <c r="A151" s="14"/>
      <c r="B151" s="11"/>
      <c r="C151" s="80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</row>
    <row r="152" spans="1:39" s="9" customFormat="1" ht="12.75">
      <c r="A152" s="14"/>
      <c r="B152" s="11"/>
      <c r="C152" s="80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</row>
    <row r="153" spans="1:39" s="9" customFormat="1" ht="12.75">
      <c r="A153" s="14"/>
      <c r="B153" s="11"/>
      <c r="C153" s="80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</row>
    <row r="154" spans="1:39" s="9" customFormat="1" ht="12.75">
      <c r="A154" s="14"/>
      <c r="B154" s="11"/>
      <c r="C154" s="80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</row>
    <row r="155" spans="1:39" s="9" customFormat="1" ht="12.75">
      <c r="A155" s="14"/>
      <c r="B155" s="11"/>
      <c r="C155" s="80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</row>
    <row r="156" spans="1:39" s="9" customFormat="1" ht="12.75">
      <c r="A156" s="14"/>
      <c r="B156" s="11"/>
      <c r="C156" s="80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</row>
    <row r="157" spans="1:39" s="9" customFormat="1" ht="12.75">
      <c r="A157" s="14"/>
      <c r="B157" s="11"/>
      <c r="C157" s="80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</row>
    <row r="158" spans="1:39" s="9" customFormat="1" ht="12.75">
      <c r="A158" s="14"/>
      <c r="B158" s="11"/>
      <c r="C158" s="80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</row>
    <row r="159" spans="1:39" s="9" customFormat="1" ht="12.75">
      <c r="A159" s="14"/>
      <c r="B159" s="11"/>
      <c r="C159" s="80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</row>
    <row r="160" spans="1:39" s="9" customFormat="1" ht="12.75">
      <c r="A160" s="14"/>
      <c r="B160" s="11"/>
      <c r="C160" s="80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</row>
    <row r="161" spans="1:39" s="9" customFormat="1" ht="12.75">
      <c r="A161" s="14"/>
      <c r="B161" s="11"/>
      <c r="C161" s="80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</row>
    <row r="162" spans="1:39" s="9" customFormat="1" ht="12.75">
      <c r="A162" s="14"/>
      <c r="B162" s="11"/>
      <c r="C162" s="80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</row>
    <row r="163" spans="1:39" s="9" customFormat="1" ht="12.75">
      <c r="A163" s="14"/>
      <c r="B163" s="11"/>
      <c r="C163" s="80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</row>
    <row r="164" spans="1:39" s="9" customFormat="1" ht="12.75">
      <c r="A164" s="14"/>
      <c r="B164" s="11"/>
      <c r="C164" s="80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</row>
    <row r="165" spans="1:39" s="9" customFormat="1" ht="12.75">
      <c r="A165" s="14"/>
      <c r="B165" s="11"/>
      <c r="C165" s="80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</row>
    <row r="166" spans="1:39" s="9" customFormat="1" ht="12.75">
      <c r="A166" s="14"/>
      <c r="B166" s="11"/>
      <c r="C166" s="80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</row>
    <row r="167" spans="1:39" s="9" customFormat="1" ht="12.75">
      <c r="A167" s="14"/>
      <c r="B167" s="11"/>
      <c r="C167" s="80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</row>
    <row r="168" spans="1:39" s="9" customFormat="1" ht="12.75">
      <c r="A168" s="14"/>
      <c r="B168" s="11"/>
      <c r="C168" s="80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</row>
    <row r="169" spans="1:39" s="9" customFormat="1" ht="12.75">
      <c r="A169" s="14"/>
      <c r="B169" s="11"/>
      <c r="C169" s="80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</row>
    <row r="170" spans="1:39" s="9" customFormat="1" ht="12.75">
      <c r="A170" s="14"/>
      <c r="B170" s="11"/>
      <c r="C170" s="80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</row>
    <row r="171" spans="1:39" s="9" customFormat="1" ht="12.75">
      <c r="A171" s="14"/>
      <c r="B171" s="11"/>
      <c r="C171" s="80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</row>
    <row r="172" spans="1:39" s="9" customFormat="1" ht="12.75">
      <c r="A172" s="14"/>
      <c r="B172" s="11"/>
      <c r="C172" s="80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</row>
    <row r="173" spans="1:39" s="9" customFormat="1" ht="12.75">
      <c r="A173" s="14"/>
      <c r="B173" s="11"/>
      <c r="C173" s="80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</row>
    <row r="174" spans="1:39" s="9" customFormat="1" ht="12.75">
      <c r="A174" s="14"/>
      <c r="B174" s="11"/>
      <c r="C174" s="80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</row>
    <row r="175" spans="1:39" s="9" customFormat="1" ht="12.75">
      <c r="A175" s="14"/>
      <c r="B175" s="11"/>
      <c r="C175" s="80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</row>
    <row r="176" spans="1:39" s="9" customFormat="1" ht="12.75">
      <c r="A176" s="14"/>
      <c r="B176" s="11"/>
      <c r="C176" s="80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</row>
    <row r="177" spans="1:39" s="9" customFormat="1" ht="12.75">
      <c r="A177" s="14"/>
      <c r="B177" s="11"/>
      <c r="C177" s="80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</row>
    <row r="178" spans="1:39" s="9" customFormat="1" ht="12.75">
      <c r="A178" s="14"/>
      <c r="B178" s="11"/>
      <c r="C178" s="80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</row>
    <row r="179" spans="1:39" s="9" customFormat="1" ht="12.75">
      <c r="A179" s="14"/>
      <c r="B179" s="11"/>
      <c r="C179" s="80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</row>
    <row r="180" spans="1:39" s="9" customFormat="1" ht="12.75">
      <c r="A180" s="14"/>
      <c r="B180" s="11"/>
      <c r="C180" s="80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</row>
    <row r="181" spans="1:39" s="9" customFormat="1" ht="12.75">
      <c r="A181" s="14"/>
      <c r="B181" s="11"/>
      <c r="C181" s="80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</row>
    <row r="182" spans="1:39" s="9" customFormat="1" ht="12.75">
      <c r="A182" s="14"/>
      <c r="B182" s="11"/>
      <c r="C182" s="80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</row>
    <row r="183" spans="1:39" s="9" customFormat="1" ht="12.75">
      <c r="A183" s="14"/>
      <c r="B183" s="11"/>
      <c r="C183" s="80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</row>
    <row r="184" spans="1:39" s="9" customFormat="1" ht="12.75">
      <c r="A184" s="14"/>
      <c r="B184" s="11"/>
      <c r="C184" s="80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</row>
    <row r="185" spans="1:39" s="9" customFormat="1" ht="12.75">
      <c r="A185" s="14"/>
      <c r="B185" s="11"/>
      <c r="C185" s="80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</row>
    <row r="186" spans="1:39" s="9" customFormat="1" ht="12.75">
      <c r="A186" s="14"/>
      <c r="B186" s="11"/>
      <c r="C186" s="80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</row>
    <row r="187" spans="1:39" s="9" customFormat="1" ht="12.75">
      <c r="A187" s="14"/>
      <c r="B187" s="11"/>
      <c r="C187" s="80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</row>
    <row r="188" spans="1:39" s="9" customFormat="1" ht="12.75">
      <c r="A188" s="14"/>
      <c r="B188" s="11"/>
      <c r="C188" s="80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</row>
    <row r="189" spans="1:39" s="9" customFormat="1" ht="12.75">
      <c r="A189" s="14"/>
      <c r="B189" s="11"/>
      <c r="C189" s="80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</row>
    <row r="190" spans="1:39" s="9" customFormat="1" ht="12.75">
      <c r="A190" s="14"/>
      <c r="B190" s="11"/>
      <c r="C190" s="80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</row>
    <row r="191" spans="1:39" s="9" customFormat="1" ht="12.75">
      <c r="A191" s="14"/>
      <c r="B191" s="11"/>
      <c r="C191" s="80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</row>
    <row r="192" spans="1:39" s="9" customFormat="1" ht="12.75">
      <c r="A192" s="14"/>
      <c r="B192" s="11"/>
      <c r="C192" s="80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</row>
    <row r="193" spans="1:39" s="9" customFormat="1" ht="12.75">
      <c r="A193" s="14"/>
      <c r="B193" s="11"/>
      <c r="C193" s="80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</row>
    <row r="194" spans="1:39" s="9" customFormat="1" ht="12.75">
      <c r="A194" s="14"/>
      <c r="B194" s="11"/>
      <c r="C194" s="80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</row>
    <row r="195" spans="1:39" s="9" customFormat="1" ht="12.75">
      <c r="A195" s="14"/>
      <c r="B195" s="11"/>
      <c r="C195" s="80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</row>
    <row r="196" spans="1:39" s="9" customFormat="1" ht="12.75">
      <c r="A196" s="14"/>
      <c r="B196" s="11"/>
      <c r="C196" s="80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</row>
    <row r="197" spans="1:39" s="9" customFormat="1" ht="12.75">
      <c r="A197" s="14"/>
      <c r="B197" s="11"/>
      <c r="C197" s="80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</row>
    <row r="198" spans="1:39" s="9" customFormat="1" ht="12.75">
      <c r="A198" s="14"/>
      <c r="B198" s="11"/>
      <c r="C198" s="80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</row>
    <row r="199" spans="1:39" s="9" customFormat="1" ht="12.75">
      <c r="A199" s="14"/>
      <c r="B199" s="11"/>
      <c r="C199" s="80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</row>
    <row r="200" spans="1:39" s="9" customFormat="1" ht="12.75">
      <c r="A200" s="14"/>
      <c r="B200" s="11"/>
      <c r="C200" s="80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</row>
    <row r="201" spans="1:39" s="9" customFormat="1" ht="12.75">
      <c r="A201" s="14"/>
      <c r="B201" s="11"/>
      <c r="C201" s="80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</row>
    <row r="202" spans="1:39" s="9" customFormat="1" ht="12.75">
      <c r="A202" s="14"/>
      <c r="B202" s="11"/>
      <c r="C202" s="80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</row>
    <row r="203" spans="1:39" s="9" customFormat="1" ht="12.75">
      <c r="A203" s="14"/>
      <c r="B203" s="11"/>
      <c r="C203" s="80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</row>
    <row r="204" spans="1:39" s="9" customFormat="1" ht="12.75">
      <c r="A204" s="14"/>
      <c r="B204" s="11"/>
      <c r="C204" s="80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</row>
    <row r="205" spans="1:39" s="9" customFormat="1" ht="12.75">
      <c r="A205" s="14"/>
      <c r="B205" s="11"/>
      <c r="C205" s="80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</row>
    <row r="206" spans="1:39" s="9" customFormat="1" ht="12.75">
      <c r="A206" s="14"/>
      <c r="B206" s="11"/>
      <c r="C206" s="80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</row>
    <row r="207" spans="1:39" s="9" customFormat="1" ht="12.75">
      <c r="A207" s="14"/>
      <c r="B207" s="11"/>
      <c r="C207" s="80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</row>
    <row r="208" spans="1:39" s="9" customFormat="1" ht="12.75">
      <c r="A208" s="14"/>
      <c r="B208" s="11"/>
      <c r="C208" s="80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</row>
    <row r="209" spans="1:39" s="9" customFormat="1" ht="12.75">
      <c r="A209" s="14"/>
      <c r="B209" s="11"/>
      <c r="C209" s="80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</row>
    <row r="210" spans="1:39" s="9" customFormat="1" ht="12.75">
      <c r="A210" s="14"/>
      <c r="B210" s="11"/>
      <c r="C210" s="80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</row>
    <row r="211" spans="1:39" s="9" customFormat="1" ht="12.75">
      <c r="A211" s="14"/>
      <c r="B211" s="11"/>
      <c r="C211" s="80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</row>
    <row r="212" spans="1:39" s="9" customFormat="1" ht="12.75">
      <c r="A212" s="14"/>
      <c r="B212" s="11"/>
      <c r="C212" s="80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</row>
    <row r="213" spans="1:39" s="9" customFormat="1" ht="12.75">
      <c r="A213" s="14"/>
      <c r="B213" s="11"/>
      <c r="C213" s="80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</row>
    <row r="214" spans="1:39" s="9" customFormat="1" ht="12.75">
      <c r="A214" s="14"/>
      <c r="B214" s="11"/>
      <c r="C214" s="80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</row>
    <row r="215" spans="1:39" s="9" customFormat="1" ht="12.75">
      <c r="A215" s="14"/>
      <c r="B215" s="11"/>
      <c r="C215" s="80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</row>
    <row r="216" spans="1:39" s="9" customFormat="1" ht="12.75">
      <c r="A216" s="14"/>
      <c r="B216" s="11"/>
      <c r="C216" s="80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</row>
    <row r="217" spans="1:39" s="9" customFormat="1" ht="12.75">
      <c r="A217" s="14"/>
      <c r="B217" s="11"/>
      <c r="C217" s="80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</row>
    <row r="218" spans="1:39" s="9" customFormat="1" ht="12.75">
      <c r="A218" s="14"/>
      <c r="B218" s="11"/>
      <c r="C218" s="80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</row>
    <row r="219" spans="1:39" s="9" customFormat="1" ht="12.75">
      <c r="A219" s="14"/>
      <c r="B219" s="11"/>
      <c r="C219" s="80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</row>
    <row r="220" spans="1:39" s="9" customFormat="1" ht="12.75">
      <c r="A220" s="14"/>
      <c r="B220" s="11"/>
      <c r="C220" s="80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</row>
    <row r="221" spans="1:39" s="9" customFormat="1" ht="12.75">
      <c r="A221" s="14"/>
      <c r="B221" s="11"/>
      <c r="C221" s="80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</row>
    <row r="222" spans="1:39" s="9" customFormat="1" ht="12.75">
      <c r="A222" s="14"/>
      <c r="B222" s="11"/>
      <c r="C222" s="80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</row>
    <row r="223" spans="1:39" s="9" customFormat="1" ht="12.75">
      <c r="A223" s="14"/>
      <c r="B223" s="11"/>
      <c r="C223" s="80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</row>
    <row r="224" spans="1:39" s="9" customFormat="1" ht="12.75">
      <c r="A224" s="14"/>
      <c r="B224" s="11"/>
      <c r="C224" s="80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</row>
    <row r="225" spans="1:39" s="9" customFormat="1" ht="12.75">
      <c r="A225" s="14"/>
      <c r="B225" s="11"/>
      <c r="C225" s="80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</row>
    <row r="226" spans="1:39" s="9" customFormat="1" ht="12.75">
      <c r="A226" s="14"/>
      <c r="B226" s="11"/>
      <c r="C226" s="80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</row>
    <row r="227" spans="1:39" s="9" customFormat="1" ht="12.75">
      <c r="A227" s="14"/>
      <c r="B227" s="11"/>
      <c r="C227" s="80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</row>
    <row r="228" spans="1:39" s="9" customFormat="1" ht="12.75">
      <c r="A228" s="14"/>
      <c r="B228" s="11"/>
      <c r="C228" s="80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</row>
    <row r="229" spans="1:39" s="9" customFormat="1" ht="12.75">
      <c r="A229" s="14"/>
      <c r="B229" s="11"/>
      <c r="C229" s="80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</row>
    <row r="230" spans="1:39" s="9" customFormat="1" ht="12.75">
      <c r="A230" s="14"/>
      <c r="B230" s="11"/>
      <c r="C230" s="80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</row>
    <row r="231" spans="1:39" s="9" customFormat="1" ht="12.75">
      <c r="A231" s="14"/>
      <c r="B231" s="11"/>
      <c r="C231" s="80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</row>
    <row r="232" spans="1:39" s="9" customFormat="1" ht="12.75">
      <c r="A232" s="14"/>
      <c r="B232" s="11"/>
      <c r="C232" s="80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</row>
    <row r="233" spans="1:39" s="9" customFormat="1" ht="12.75">
      <c r="A233" s="14"/>
      <c r="B233" s="11"/>
      <c r="C233" s="80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</row>
    <row r="234" spans="1:39" s="9" customFormat="1" ht="12.75">
      <c r="A234" s="14"/>
      <c r="B234" s="11"/>
      <c r="C234" s="80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</row>
    <row r="235" spans="1:39" s="9" customFormat="1" ht="12.75">
      <c r="A235" s="14"/>
      <c r="B235" s="11"/>
      <c r="C235" s="80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</row>
    <row r="236" spans="1:39" s="9" customFormat="1" ht="12.75">
      <c r="A236" s="14"/>
      <c r="B236" s="11"/>
      <c r="C236" s="80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</row>
    <row r="237" spans="1:39" s="9" customFormat="1" ht="12.75">
      <c r="A237" s="14"/>
      <c r="B237" s="11"/>
      <c r="C237" s="80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</row>
    <row r="238" spans="1:39" s="9" customFormat="1" ht="12.75">
      <c r="A238" s="14"/>
      <c r="B238" s="11"/>
      <c r="C238" s="80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</row>
    <row r="239" spans="1:39" s="9" customFormat="1" ht="12.75">
      <c r="A239" s="14"/>
      <c r="B239" s="11"/>
      <c r="C239" s="80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</row>
    <row r="240" spans="1:39" s="9" customFormat="1" ht="12.75">
      <c r="A240" s="14"/>
      <c r="B240" s="11"/>
      <c r="C240" s="80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</row>
    <row r="241" spans="1:39" s="9" customFormat="1" ht="12.75">
      <c r="A241" s="14"/>
      <c r="B241" s="11"/>
      <c r="C241" s="80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</row>
    <row r="242" spans="1:39" s="9" customFormat="1" ht="12.75">
      <c r="A242" s="14"/>
      <c r="B242" s="11"/>
      <c r="C242" s="80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</row>
    <row r="243" spans="1:39" s="9" customFormat="1" ht="12.75">
      <c r="A243" s="14"/>
      <c r="B243" s="11"/>
      <c r="C243" s="80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</row>
    <row r="244" spans="1:39" s="9" customFormat="1" ht="12.75">
      <c r="A244" s="14"/>
      <c r="B244" s="11"/>
      <c r="C244" s="80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</row>
    <row r="245" spans="1:39" s="9" customFormat="1" ht="12.75">
      <c r="A245" s="14"/>
      <c r="B245" s="11"/>
      <c r="C245" s="80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</row>
    <row r="246" spans="1:39" s="9" customFormat="1" ht="12.75">
      <c r="A246" s="14"/>
      <c r="B246" s="11"/>
      <c r="C246" s="80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</row>
    <row r="247" spans="1:39" s="9" customFormat="1" ht="12.75">
      <c r="A247" s="14"/>
      <c r="B247" s="11"/>
      <c r="C247" s="80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</row>
    <row r="248" spans="1:39" s="9" customFormat="1" ht="12.75">
      <c r="A248" s="14"/>
      <c r="B248" s="11"/>
      <c r="C248" s="80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</row>
    <row r="249" spans="1:39" s="9" customFormat="1" ht="12.75">
      <c r="A249" s="14"/>
      <c r="B249" s="11"/>
      <c r="C249" s="80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</row>
    <row r="250" spans="1:39" s="9" customFormat="1" ht="12.75">
      <c r="A250" s="14"/>
      <c r="B250" s="11"/>
      <c r="C250" s="80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</row>
    <row r="251" spans="1:39" s="9" customFormat="1" ht="12.75">
      <c r="A251" s="14"/>
      <c r="B251" s="11"/>
      <c r="C251" s="80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</row>
    <row r="252" spans="1:39" s="9" customFormat="1" ht="12.75">
      <c r="A252" s="14"/>
      <c r="B252" s="11"/>
      <c r="C252" s="80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</row>
    <row r="253" spans="1:39" s="9" customFormat="1" ht="12.75">
      <c r="A253" s="14"/>
      <c r="B253" s="11"/>
      <c r="C253" s="80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</row>
    <row r="254" spans="1:39" s="9" customFormat="1" ht="12.75">
      <c r="A254" s="14"/>
      <c r="B254" s="11"/>
      <c r="C254" s="80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</row>
    <row r="255" spans="1:39" s="9" customFormat="1" ht="12.75">
      <c r="A255" s="14"/>
      <c r="B255" s="11"/>
      <c r="C255" s="80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</row>
    <row r="256" spans="1:39" s="9" customFormat="1" ht="12.75">
      <c r="A256" s="14"/>
      <c r="B256" s="11"/>
      <c r="C256" s="80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</row>
    <row r="257" spans="1:39" s="9" customFormat="1" ht="12.75">
      <c r="A257" s="14"/>
      <c r="B257" s="11"/>
      <c r="C257" s="80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</row>
    <row r="258" spans="1:39" s="9" customFormat="1" ht="12.75">
      <c r="A258" s="14"/>
      <c r="B258" s="11"/>
      <c r="C258" s="80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</row>
    <row r="259" spans="1:39" s="9" customFormat="1" ht="12.75">
      <c r="A259" s="14"/>
      <c r="B259" s="11"/>
      <c r="C259" s="80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</row>
    <row r="260" spans="1:39" s="9" customFormat="1" ht="12.75">
      <c r="A260" s="14"/>
      <c r="B260" s="11"/>
      <c r="C260" s="80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</row>
    <row r="261" spans="1:39" s="9" customFormat="1" ht="12.75">
      <c r="A261" s="14"/>
      <c r="B261" s="11"/>
      <c r="C261" s="80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</row>
    <row r="262" spans="1:39" s="9" customFormat="1" ht="12.75">
      <c r="A262" s="14"/>
      <c r="B262" s="11"/>
      <c r="C262" s="80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</row>
    <row r="263" spans="1:39" s="9" customFormat="1" ht="12.75">
      <c r="A263" s="14"/>
      <c r="B263" s="11"/>
      <c r="C263" s="80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</row>
    <row r="264" spans="1:39" s="9" customFormat="1" ht="12.75">
      <c r="A264" s="14"/>
      <c r="B264" s="11"/>
      <c r="C264" s="80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</row>
    <row r="265" spans="1:39" s="9" customFormat="1" ht="12.75">
      <c r="A265" s="14"/>
      <c r="B265" s="11"/>
      <c r="C265" s="80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</row>
    <row r="266" spans="1:39" s="9" customFormat="1" ht="12.75">
      <c r="A266" s="14"/>
      <c r="B266" s="11"/>
      <c r="C266" s="80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</row>
    <row r="267" spans="1:39" s="9" customFormat="1" ht="12.75">
      <c r="A267" s="14"/>
      <c r="B267" s="11"/>
      <c r="C267" s="80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</row>
    <row r="268" spans="1:39" s="9" customFormat="1" ht="12.75">
      <c r="A268" s="14"/>
      <c r="B268" s="11"/>
      <c r="C268" s="80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</row>
    <row r="269" spans="1:39" s="9" customFormat="1" ht="12.75">
      <c r="A269" s="14"/>
      <c r="B269" s="11"/>
      <c r="C269" s="80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</row>
    <row r="270" spans="1:39" s="9" customFormat="1" ht="12.75">
      <c r="A270" s="14"/>
      <c r="B270" s="11"/>
      <c r="C270" s="80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</row>
    <row r="271" spans="1:39" s="9" customFormat="1" ht="12.75">
      <c r="A271" s="14"/>
      <c r="B271" s="11"/>
      <c r="C271" s="80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</row>
    <row r="272" spans="1:39" s="9" customFormat="1" ht="12.75">
      <c r="A272" s="14"/>
      <c r="B272" s="11"/>
      <c r="C272" s="80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</row>
    <row r="273" spans="1:39" s="9" customFormat="1" ht="12.75">
      <c r="A273" s="14"/>
      <c r="B273" s="11"/>
      <c r="C273" s="80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</row>
    <row r="274" spans="1:39" s="9" customFormat="1" ht="12.75">
      <c r="A274" s="14"/>
      <c r="B274" s="11"/>
      <c r="C274" s="80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</row>
    <row r="275" spans="1:39" s="9" customFormat="1" ht="12.75">
      <c r="A275" s="14"/>
      <c r="B275" s="11"/>
      <c r="C275" s="80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</row>
    <row r="276" spans="1:39" s="9" customFormat="1" ht="12.75">
      <c r="A276" s="14"/>
      <c r="B276" s="11"/>
      <c r="C276" s="80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</row>
    <row r="277" spans="1:39" s="9" customFormat="1" ht="12.75">
      <c r="A277" s="14"/>
      <c r="B277" s="11"/>
      <c r="C277" s="80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</row>
    <row r="278" spans="1:39" s="9" customFormat="1" ht="12.75">
      <c r="A278" s="14"/>
      <c r="B278" s="11"/>
      <c r="C278" s="80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</row>
    <row r="279" spans="1:39" s="9" customFormat="1" ht="12.75">
      <c r="A279" s="14"/>
      <c r="B279" s="11"/>
      <c r="C279" s="80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</row>
    <row r="280" spans="1:39" s="9" customFormat="1" ht="12.75">
      <c r="A280" s="14"/>
      <c r="B280" s="11"/>
      <c r="C280" s="80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</row>
    <row r="281" spans="1:39" s="9" customFormat="1" ht="12.75">
      <c r="A281" s="14"/>
      <c r="B281" s="11"/>
      <c r="C281" s="80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</row>
    <row r="282" spans="1:39" s="9" customFormat="1" ht="12.75">
      <c r="A282" s="14"/>
      <c r="B282" s="11"/>
      <c r="C282" s="80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</row>
    <row r="283" spans="1:39" s="9" customFormat="1" ht="12.75">
      <c r="A283" s="14"/>
      <c r="B283" s="11"/>
      <c r="C283" s="80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</row>
    <row r="284" spans="1:39" s="9" customFormat="1" ht="12.75">
      <c r="A284" s="14"/>
      <c r="B284" s="11"/>
      <c r="C284" s="80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</row>
    <row r="285" spans="1:39" s="9" customFormat="1" ht="12.75">
      <c r="A285" s="14"/>
      <c r="B285" s="11"/>
      <c r="C285" s="80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</row>
    <row r="286" spans="1:39" s="9" customFormat="1" ht="12.75">
      <c r="A286" s="14"/>
      <c r="B286" s="11"/>
      <c r="C286" s="80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</row>
    <row r="287" spans="1:39" s="9" customFormat="1" ht="12.75">
      <c r="A287" s="14"/>
      <c r="B287" s="11"/>
      <c r="C287" s="80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</row>
    <row r="288" spans="1:39" s="9" customFormat="1" ht="12.75">
      <c r="A288" s="14"/>
      <c r="B288" s="11"/>
      <c r="C288" s="80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</row>
    <row r="289" spans="1:39" s="9" customFormat="1" ht="12.75">
      <c r="A289" s="14"/>
      <c r="B289" s="11"/>
      <c r="C289" s="80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</row>
    <row r="290" spans="1:39" s="9" customFormat="1" ht="12.75">
      <c r="A290" s="14"/>
      <c r="B290" s="11"/>
      <c r="C290" s="80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</row>
    <row r="291" spans="1:39" s="9" customFormat="1" ht="12.75">
      <c r="A291" s="14"/>
      <c r="B291" s="11"/>
      <c r="C291" s="80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</row>
    <row r="292" spans="1:39" s="9" customFormat="1" ht="12.75">
      <c r="A292" s="14"/>
      <c r="B292" s="11"/>
      <c r="C292" s="80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</row>
    <row r="293" spans="1:39" s="9" customFormat="1" ht="12.75">
      <c r="A293" s="14"/>
      <c r="B293" s="11"/>
      <c r="C293" s="80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</row>
    <row r="294" spans="1:39" s="9" customFormat="1" ht="12.75">
      <c r="A294" s="14"/>
      <c r="B294" s="11"/>
      <c r="C294" s="80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</row>
    <row r="295" spans="1:39" s="9" customFormat="1" ht="12.75">
      <c r="A295" s="14"/>
      <c r="B295" s="11"/>
      <c r="C295" s="80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</row>
    <row r="296" spans="1:39" s="9" customFormat="1" ht="12.75">
      <c r="A296" s="14"/>
      <c r="B296" s="11"/>
      <c r="C296" s="80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</row>
    <row r="297" spans="1:39" s="9" customFormat="1" ht="12.75">
      <c r="A297" s="14"/>
      <c r="B297" s="11"/>
      <c r="C297" s="80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</row>
    <row r="298" spans="1:39" s="9" customFormat="1" ht="12.75">
      <c r="A298" s="14"/>
      <c r="B298" s="11"/>
      <c r="C298" s="80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</row>
    <row r="299" spans="1:39" s="9" customFormat="1" ht="12.75">
      <c r="A299" s="14"/>
      <c r="B299" s="11"/>
      <c r="C299" s="80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</row>
    <row r="300" spans="1:39" s="9" customFormat="1" ht="12.75">
      <c r="A300" s="14"/>
      <c r="B300" s="11"/>
      <c r="C300" s="80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</row>
    <row r="301" spans="1:39" s="9" customFormat="1" ht="12.75">
      <c r="A301" s="14"/>
      <c r="B301" s="11"/>
      <c r="C301" s="80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</row>
    <row r="302" spans="1:39" s="9" customFormat="1" ht="12.75">
      <c r="A302" s="14"/>
      <c r="B302" s="11"/>
      <c r="C302" s="80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</row>
    <row r="303" spans="1:39" s="9" customFormat="1" ht="12.75">
      <c r="A303" s="14"/>
      <c r="B303" s="11"/>
      <c r="C303" s="80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</row>
    <row r="304" spans="1:39" s="9" customFormat="1" ht="12.75">
      <c r="A304" s="14"/>
      <c r="B304" s="11"/>
      <c r="C304" s="80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</row>
    <row r="305" spans="1:39" s="9" customFormat="1" ht="12.75">
      <c r="A305" s="14"/>
      <c r="B305" s="11"/>
      <c r="C305" s="80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</row>
    <row r="306" spans="1:39" s="9" customFormat="1" ht="12.75">
      <c r="A306" s="14"/>
      <c r="B306" s="11"/>
      <c r="C306" s="80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</row>
    <row r="307" spans="1:39" s="9" customFormat="1" ht="12.75">
      <c r="A307" s="14"/>
      <c r="B307" s="11"/>
      <c r="C307" s="80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</row>
    <row r="308" spans="1:39" s="9" customFormat="1" ht="12.75">
      <c r="A308" s="14"/>
      <c r="B308" s="11"/>
      <c r="C308" s="80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</row>
    <row r="309" spans="1:39" s="9" customFormat="1" ht="12.75">
      <c r="A309" s="14"/>
      <c r="B309" s="11"/>
      <c r="C309" s="80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</row>
    <row r="310" spans="1:39" s="9" customFormat="1" ht="12.75">
      <c r="A310" s="14"/>
      <c r="B310" s="11"/>
      <c r="C310" s="80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</row>
    <row r="311" spans="1:39" s="9" customFormat="1" ht="12.75">
      <c r="A311" s="14"/>
      <c r="B311" s="11"/>
      <c r="C311" s="80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</row>
    <row r="312" spans="1:39" s="9" customFormat="1" ht="12.75">
      <c r="A312" s="14"/>
      <c r="B312" s="11"/>
      <c r="C312" s="80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</row>
    <row r="313" spans="1:39" s="9" customFormat="1" ht="12.75">
      <c r="A313" s="14"/>
      <c r="B313" s="11"/>
      <c r="C313" s="80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</row>
    <row r="314" spans="1:39" s="9" customFormat="1" ht="12.75">
      <c r="A314" s="14"/>
      <c r="B314" s="11"/>
      <c r="C314" s="80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</row>
    <row r="315" spans="1:39" s="9" customFormat="1" ht="12.75">
      <c r="A315" s="14"/>
      <c r="B315" s="11"/>
      <c r="C315" s="80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</row>
    <row r="316" spans="1:39" s="9" customFormat="1" ht="12.75">
      <c r="A316" s="14"/>
      <c r="B316" s="11"/>
      <c r="C316" s="80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</row>
    <row r="317" spans="1:39" s="9" customFormat="1" ht="12.75">
      <c r="A317" s="14"/>
      <c r="B317" s="11"/>
      <c r="C317" s="80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</row>
    <row r="318" spans="1:39" s="9" customFormat="1" ht="12.75">
      <c r="A318" s="14"/>
      <c r="B318" s="11"/>
      <c r="C318" s="80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</row>
    <row r="319" spans="1:39" s="9" customFormat="1" ht="12.75">
      <c r="A319" s="14"/>
      <c r="B319" s="11"/>
      <c r="C319" s="80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</row>
    <row r="320" spans="1:39" s="9" customFormat="1" ht="12.75">
      <c r="A320" s="14"/>
      <c r="B320" s="11"/>
      <c r="C320" s="80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</row>
    <row r="321" spans="1:39" s="9" customFormat="1" ht="12.75">
      <c r="A321" s="14"/>
      <c r="B321" s="11"/>
      <c r="C321" s="80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</row>
    <row r="322" spans="1:39" s="9" customFormat="1" ht="12.75">
      <c r="A322" s="14"/>
      <c r="B322" s="11"/>
      <c r="C322" s="80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</row>
    <row r="323" spans="1:39" s="9" customFormat="1" ht="12.75">
      <c r="A323" s="14"/>
      <c r="B323" s="11"/>
      <c r="C323" s="80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</row>
    <row r="324" spans="1:39" s="9" customFormat="1" ht="12.75">
      <c r="A324" s="14"/>
      <c r="B324" s="11"/>
      <c r="C324" s="80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</row>
    <row r="325" spans="1:39" s="9" customFormat="1" ht="12.75">
      <c r="A325" s="14"/>
      <c r="B325" s="11"/>
      <c r="C325" s="80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</row>
    <row r="326" spans="1:39" s="9" customFormat="1" ht="12.75">
      <c r="A326" s="14"/>
      <c r="B326" s="11"/>
      <c r="C326" s="80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</row>
    <row r="327" spans="1:39" s="9" customFormat="1" ht="12.75">
      <c r="A327" s="14"/>
      <c r="B327" s="11"/>
      <c r="C327" s="80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</row>
    <row r="328" spans="1:39" s="9" customFormat="1" ht="12.75">
      <c r="A328" s="14"/>
      <c r="B328" s="11"/>
      <c r="C328" s="80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</row>
    <row r="329" spans="1:39" s="9" customFormat="1" ht="12.75">
      <c r="A329" s="14"/>
      <c r="B329" s="11"/>
      <c r="C329" s="80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</row>
    <row r="330" spans="1:39" s="9" customFormat="1" ht="12.75">
      <c r="A330" s="14"/>
      <c r="B330" s="11"/>
      <c r="C330" s="80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</row>
    <row r="331" spans="2:39" s="9" customFormat="1" ht="12.75">
      <c r="B331" s="11"/>
      <c r="C331" s="80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</row>
    <row r="332" spans="2:39" s="9" customFormat="1" ht="12.75">
      <c r="B332" s="11"/>
      <c r="C332" s="80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</row>
    <row r="333" spans="2:39" s="9" customFormat="1" ht="12.75">
      <c r="B333" s="11"/>
      <c r="C333" s="80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</row>
    <row r="334" spans="2:39" s="9" customFormat="1" ht="12.75">
      <c r="B334" s="11"/>
      <c r="C334" s="80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</row>
    <row r="335" spans="2:39" s="9" customFormat="1" ht="12.75">
      <c r="B335" s="11"/>
      <c r="C335" s="80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</row>
    <row r="336" spans="2:39" s="9" customFormat="1" ht="12.75">
      <c r="B336" s="11"/>
      <c r="C336" s="80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</row>
    <row r="337" spans="2:39" s="9" customFormat="1" ht="12.75">
      <c r="B337" s="11"/>
      <c r="C337" s="80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</row>
    <row r="338" spans="2:39" s="9" customFormat="1" ht="12.75">
      <c r="B338" s="11"/>
      <c r="C338" s="80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</row>
    <row r="339" spans="2:39" s="9" customFormat="1" ht="12.75">
      <c r="B339" s="11"/>
      <c r="C339" s="80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</row>
    <row r="340" spans="2:39" s="9" customFormat="1" ht="12.75">
      <c r="B340" s="11"/>
      <c r="C340" s="80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</row>
    <row r="341" spans="2:39" s="9" customFormat="1" ht="12.75">
      <c r="B341" s="11"/>
      <c r="C341" s="80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</row>
    <row r="342" spans="2:39" s="9" customFormat="1" ht="12.75">
      <c r="B342" s="11"/>
      <c r="C342" s="80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</row>
    <row r="343" spans="2:39" s="9" customFormat="1" ht="12.75">
      <c r="B343" s="11"/>
      <c r="C343" s="80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</row>
    <row r="344" spans="2:39" s="9" customFormat="1" ht="12.75">
      <c r="B344" s="11"/>
      <c r="C344" s="80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</row>
    <row r="345" spans="2:39" s="9" customFormat="1" ht="12.75">
      <c r="B345" s="11"/>
      <c r="C345" s="80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</row>
    <row r="346" spans="2:39" s="9" customFormat="1" ht="12.75">
      <c r="B346" s="11"/>
      <c r="C346" s="80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</row>
    <row r="347" spans="2:39" s="9" customFormat="1" ht="12.75">
      <c r="B347" s="11"/>
      <c r="C347" s="80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</row>
    <row r="348" spans="2:39" s="9" customFormat="1" ht="12.75">
      <c r="B348" s="11"/>
      <c r="C348" s="80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</row>
    <row r="349" spans="2:39" s="9" customFormat="1" ht="12.75">
      <c r="B349" s="11"/>
      <c r="C349" s="80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</row>
    <row r="350" spans="2:39" s="9" customFormat="1" ht="12.75">
      <c r="B350" s="11"/>
      <c r="C350" s="80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</row>
    <row r="351" spans="2:39" s="9" customFormat="1" ht="12.75">
      <c r="B351" s="11"/>
      <c r="C351" s="80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</row>
    <row r="352" spans="2:39" s="9" customFormat="1" ht="12.75">
      <c r="B352" s="11"/>
      <c r="C352" s="80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</row>
    <row r="353" spans="2:39" s="9" customFormat="1" ht="12.75">
      <c r="B353" s="11"/>
      <c r="C353" s="80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</row>
    <row r="354" spans="2:39" s="9" customFormat="1" ht="12.75">
      <c r="B354" s="11"/>
      <c r="C354" s="80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</row>
    <row r="355" spans="2:39" s="9" customFormat="1" ht="12.75">
      <c r="B355" s="11"/>
      <c r="C355" s="80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</row>
    <row r="356" spans="2:39" s="9" customFormat="1" ht="12.75">
      <c r="B356" s="11"/>
      <c r="C356" s="80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</row>
    <row r="357" spans="2:39" s="9" customFormat="1" ht="12.75">
      <c r="B357" s="11"/>
      <c r="C357" s="80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</row>
    <row r="358" spans="2:39" s="9" customFormat="1" ht="12.75">
      <c r="B358" s="11"/>
      <c r="C358" s="80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</row>
    <row r="359" spans="2:39" s="9" customFormat="1" ht="12.75">
      <c r="B359" s="11"/>
      <c r="C359" s="80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</row>
    <row r="360" spans="2:39" s="9" customFormat="1" ht="12.75">
      <c r="B360" s="11"/>
      <c r="C360" s="80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</row>
    <row r="361" spans="2:39" s="9" customFormat="1" ht="12.75">
      <c r="B361" s="11"/>
      <c r="C361" s="80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</row>
    <row r="362" spans="2:39" s="9" customFormat="1" ht="12.75">
      <c r="B362" s="11"/>
      <c r="C362" s="80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</row>
    <row r="363" spans="2:39" s="9" customFormat="1" ht="12.75">
      <c r="B363" s="11"/>
      <c r="C363" s="80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</row>
    <row r="364" spans="2:39" s="9" customFormat="1" ht="12.75">
      <c r="B364" s="11"/>
      <c r="C364" s="80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</row>
    <row r="365" spans="2:39" s="9" customFormat="1" ht="12.75">
      <c r="B365" s="11"/>
      <c r="C365" s="80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</row>
    <row r="366" spans="2:39" s="9" customFormat="1" ht="12.75">
      <c r="B366" s="11"/>
      <c r="C366" s="80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</row>
    <row r="367" spans="2:39" s="9" customFormat="1" ht="12.75">
      <c r="B367" s="11"/>
      <c r="C367" s="80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</row>
    <row r="368" spans="2:39" s="9" customFormat="1" ht="12.75">
      <c r="B368" s="11"/>
      <c r="C368" s="80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</row>
    <row r="369" spans="2:39" s="9" customFormat="1" ht="12.75">
      <c r="B369" s="11"/>
      <c r="C369" s="80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</row>
    <row r="370" spans="2:39" s="9" customFormat="1" ht="12.75">
      <c r="B370" s="11"/>
      <c r="C370" s="80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</row>
    <row r="371" spans="2:39" s="9" customFormat="1" ht="12.75">
      <c r="B371" s="11"/>
      <c r="C371" s="80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</row>
    <row r="372" spans="2:39" s="9" customFormat="1" ht="12.75">
      <c r="B372" s="11"/>
      <c r="C372" s="80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</row>
    <row r="373" spans="2:39" s="9" customFormat="1" ht="12.75">
      <c r="B373" s="11"/>
      <c r="C373" s="80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</row>
    <row r="374" spans="2:39" s="9" customFormat="1" ht="12.75">
      <c r="B374" s="11"/>
      <c r="C374" s="80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</row>
    <row r="375" spans="2:39" s="9" customFormat="1" ht="12.75">
      <c r="B375" s="11"/>
      <c r="C375" s="80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</row>
    <row r="376" spans="2:39" s="9" customFormat="1" ht="12.75">
      <c r="B376" s="11"/>
      <c r="C376" s="80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</row>
    <row r="377" spans="2:39" s="9" customFormat="1" ht="12.75">
      <c r="B377" s="11"/>
      <c r="C377" s="80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</row>
    <row r="378" spans="2:39" s="9" customFormat="1" ht="12.75">
      <c r="B378" s="11"/>
      <c r="C378" s="80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</row>
    <row r="379" spans="2:39" s="9" customFormat="1" ht="12.75">
      <c r="B379" s="11"/>
      <c r="C379" s="80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</row>
    <row r="380" spans="2:39" s="9" customFormat="1" ht="12.75">
      <c r="B380" s="11"/>
      <c r="C380" s="80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</row>
    <row r="381" spans="2:39" s="9" customFormat="1" ht="12.75">
      <c r="B381" s="11"/>
      <c r="C381" s="80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</row>
    <row r="382" spans="2:39" s="9" customFormat="1" ht="12.75">
      <c r="B382" s="11"/>
      <c r="C382" s="80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</row>
    <row r="383" spans="2:39" s="9" customFormat="1" ht="12.75">
      <c r="B383" s="11"/>
      <c r="C383" s="80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</row>
    <row r="384" spans="2:39" s="9" customFormat="1" ht="12.75">
      <c r="B384" s="11"/>
      <c r="C384" s="80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</row>
    <row r="385" spans="2:39" s="9" customFormat="1" ht="12.75">
      <c r="B385" s="11"/>
      <c r="C385" s="80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</row>
    <row r="386" spans="2:39" s="9" customFormat="1" ht="12.75">
      <c r="B386" s="11"/>
      <c r="C386" s="80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</row>
    <row r="387" spans="2:39" s="9" customFormat="1" ht="12.75">
      <c r="B387" s="11"/>
      <c r="C387" s="80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</row>
    <row r="388" spans="2:39" s="9" customFormat="1" ht="12.75">
      <c r="B388" s="11"/>
      <c r="C388" s="80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</row>
    <row r="389" spans="2:39" s="9" customFormat="1" ht="12.75">
      <c r="B389" s="11"/>
      <c r="C389" s="80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</row>
    <row r="390" spans="2:39" s="9" customFormat="1" ht="12.75">
      <c r="B390" s="11"/>
      <c r="C390" s="80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</row>
    <row r="391" spans="2:39" s="9" customFormat="1" ht="12.75">
      <c r="B391" s="11"/>
      <c r="C391" s="80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</row>
    <row r="392" spans="2:39" s="9" customFormat="1" ht="12.75">
      <c r="B392" s="11"/>
      <c r="C392" s="80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</row>
    <row r="393" spans="2:39" s="9" customFormat="1" ht="12.75">
      <c r="B393" s="11"/>
      <c r="C393" s="80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</row>
    <row r="394" spans="2:39" s="9" customFormat="1" ht="12.75">
      <c r="B394" s="11"/>
      <c r="C394" s="80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</row>
    <row r="395" spans="2:39" s="9" customFormat="1" ht="12.75">
      <c r="B395" s="11"/>
      <c r="C395" s="80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</row>
    <row r="396" spans="2:39" s="9" customFormat="1" ht="12.75">
      <c r="B396" s="11"/>
      <c r="C396" s="80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</row>
    <row r="397" spans="2:39" s="9" customFormat="1" ht="12.75">
      <c r="B397" s="11"/>
      <c r="C397" s="80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</row>
    <row r="398" spans="2:39" s="9" customFormat="1" ht="12.75">
      <c r="B398" s="11"/>
      <c r="C398" s="80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</row>
    <row r="399" spans="2:39" s="9" customFormat="1" ht="12.75">
      <c r="B399" s="11"/>
      <c r="C399" s="80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</row>
    <row r="400" spans="2:39" s="9" customFormat="1" ht="12.75">
      <c r="B400" s="11"/>
      <c r="C400" s="80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</row>
    <row r="401" spans="2:39" s="9" customFormat="1" ht="12.75">
      <c r="B401" s="11"/>
      <c r="C401" s="80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</row>
    <row r="402" spans="2:39" s="9" customFormat="1" ht="12.75">
      <c r="B402" s="11"/>
      <c r="C402" s="80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</row>
    <row r="403" spans="2:39" s="9" customFormat="1" ht="12.75">
      <c r="B403" s="11"/>
      <c r="C403" s="80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</row>
    <row r="404" spans="2:39" s="9" customFormat="1" ht="12.75">
      <c r="B404" s="11"/>
      <c r="C404" s="80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</row>
    <row r="405" spans="2:39" s="9" customFormat="1" ht="12.75">
      <c r="B405" s="11"/>
      <c r="C405" s="80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</row>
    <row r="406" spans="2:39" s="9" customFormat="1" ht="12.75">
      <c r="B406" s="11"/>
      <c r="C406" s="80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</row>
    <row r="407" spans="2:39" s="9" customFormat="1" ht="12.75">
      <c r="B407" s="11"/>
      <c r="C407" s="80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</row>
    <row r="408" spans="2:39" s="9" customFormat="1" ht="12.75">
      <c r="B408" s="11"/>
      <c r="C408" s="80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</row>
    <row r="409" spans="2:39" s="9" customFormat="1" ht="12.75">
      <c r="B409" s="11"/>
      <c r="C409" s="80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</row>
    <row r="410" spans="2:39" s="9" customFormat="1" ht="12.75">
      <c r="B410" s="11"/>
      <c r="C410" s="80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</row>
    <row r="411" spans="2:39" s="9" customFormat="1" ht="12.75">
      <c r="B411" s="11"/>
      <c r="C411" s="80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</row>
    <row r="412" spans="2:39" s="9" customFormat="1" ht="12.75">
      <c r="B412" s="11"/>
      <c r="C412" s="80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</row>
    <row r="413" spans="2:39" s="9" customFormat="1" ht="12.75">
      <c r="B413" s="11"/>
      <c r="C413" s="80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</row>
    <row r="414" spans="2:39" s="9" customFormat="1" ht="12.75">
      <c r="B414" s="11"/>
      <c r="C414" s="80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</row>
    <row r="415" spans="2:39" s="9" customFormat="1" ht="12.75">
      <c r="B415" s="11"/>
      <c r="C415" s="80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</row>
    <row r="416" spans="2:39" s="9" customFormat="1" ht="12.75">
      <c r="B416" s="11"/>
      <c r="C416" s="80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</row>
    <row r="417" spans="2:39" s="9" customFormat="1" ht="12.75">
      <c r="B417" s="11"/>
      <c r="C417" s="80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</row>
    <row r="418" spans="2:39" s="9" customFormat="1" ht="12.75">
      <c r="B418" s="11"/>
      <c r="C418" s="80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</row>
    <row r="419" spans="2:39" s="9" customFormat="1" ht="12.75">
      <c r="B419" s="11"/>
      <c r="C419" s="80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</row>
    <row r="420" spans="2:39" s="9" customFormat="1" ht="12.75">
      <c r="B420" s="11"/>
      <c r="C420" s="80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</row>
    <row r="421" spans="2:39" s="9" customFormat="1" ht="12.75">
      <c r="B421" s="11"/>
      <c r="C421" s="80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</row>
    <row r="422" spans="2:39" s="9" customFormat="1" ht="12.75">
      <c r="B422" s="11"/>
      <c r="C422" s="80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</row>
    <row r="423" spans="2:39" s="9" customFormat="1" ht="12.75">
      <c r="B423" s="11"/>
      <c r="C423" s="80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</row>
    <row r="424" spans="2:39" s="9" customFormat="1" ht="12.75">
      <c r="B424" s="11"/>
      <c r="C424" s="80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</row>
    <row r="425" spans="2:39" s="9" customFormat="1" ht="12.75">
      <c r="B425" s="11"/>
      <c r="C425" s="80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</row>
    <row r="426" spans="2:39" s="9" customFormat="1" ht="12.75">
      <c r="B426" s="11"/>
      <c r="C426" s="80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</row>
    <row r="427" spans="2:39" s="9" customFormat="1" ht="12.75">
      <c r="B427" s="11"/>
      <c r="C427" s="80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</row>
    <row r="428" spans="2:39" s="9" customFormat="1" ht="12.75">
      <c r="B428" s="11"/>
      <c r="C428" s="80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</row>
    <row r="429" spans="2:39" s="9" customFormat="1" ht="12.75">
      <c r="B429" s="11"/>
      <c r="C429" s="80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</row>
    <row r="430" spans="2:39" s="9" customFormat="1" ht="12.75">
      <c r="B430" s="11"/>
      <c r="C430" s="80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</row>
    <row r="431" spans="2:39" s="9" customFormat="1" ht="12.75">
      <c r="B431" s="11"/>
      <c r="C431" s="80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</row>
    <row r="432" spans="2:39" s="9" customFormat="1" ht="12.75">
      <c r="B432" s="11"/>
      <c r="C432" s="80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</row>
    <row r="433" spans="2:39" s="9" customFormat="1" ht="12.75">
      <c r="B433" s="11"/>
      <c r="C433" s="80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</row>
    <row r="434" spans="2:39" s="9" customFormat="1" ht="12.75">
      <c r="B434" s="11"/>
      <c r="C434" s="80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</row>
    <row r="435" spans="2:39" s="9" customFormat="1" ht="12.75">
      <c r="B435" s="11"/>
      <c r="C435" s="80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</row>
    <row r="436" spans="2:39" s="9" customFormat="1" ht="12.75">
      <c r="B436" s="11"/>
      <c r="C436" s="80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</row>
    <row r="437" spans="2:39" s="9" customFormat="1" ht="12.75">
      <c r="B437" s="11"/>
      <c r="C437" s="80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</row>
    <row r="438" spans="2:39" s="9" customFormat="1" ht="12.75">
      <c r="B438" s="11"/>
      <c r="C438" s="80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</row>
    <row r="439" spans="2:39" s="9" customFormat="1" ht="12.75">
      <c r="B439" s="11"/>
      <c r="C439" s="80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</row>
    <row r="440" spans="2:39" s="9" customFormat="1" ht="12.75">
      <c r="B440" s="11"/>
      <c r="C440" s="80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</row>
    <row r="441" spans="2:39" s="9" customFormat="1" ht="12.75">
      <c r="B441" s="11"/>
      <c r="C441" s="80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</row>
    <row r="442" spans="2:39" s="9" customFormat="1" ht="12.75">
      <c r="B442" s="11"/>
      <c r="C442" s="80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</row>
    <row r="443" spans="2:39" s="9" customFormat="1" ht="12.75">
      <c r="B443" s="11"/>
      <c r="C443" s="80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</row>
    <row r="444" spans="2:39" s="9" customFormat="1" ht="12.75">
      <c r="B444" s="11"/>
      <c r="C444" s="80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</row>
    <row r="445" spans="2:39" s="9" customFormat="1" ht="12.75">
      <c r="B445" s="11"/>
      <c r="C445" s="80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</row>
    <row r="446" spans="2:39" s="9" customFormat="1" ht="12.75">
      <c r="B446" s="11"/>
      <c r="C446" s="80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</row>
    <row r="447" spans="2:39" s="9" customFormat="1" ht="12.75">
      <c r="B447" s="11"/>
      <c r="C447" s="80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</row>
    <row r="448" spans="2:39" s="9" customFormat="1" ht="12.75">
      <c r="B448" s="11"/>
      <c r="C448" s="80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</row>
    <row r="449" spans="2:39" s="9" customFormat="1" ht="12.75">
      <c r="B449" s="11"/>
      <c r="C449" s="80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</row>
    <row r="450" spans="2:39" s="9" customFormat="1" ht="12.75">
      <c r="B450" s="11"/>
      <c r="C450" s="80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</row>
    <row r="451" spans="2:39" s="9" customFormat="1" ht="12.75">
      <c r="B451" s="11"/>
      <c r="C451" s="80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</row>
    <row r="452" spans="2:39" s="9" customFormat="1" ht="12.75">
      <c r="B452" s="11"/>
      <c r="C452" s="80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</row>
    <row r="453" spans="2:39" s="9" customFormat="1" ht="12.75">
      <c r="B453" s="11"/>
      <c r="C453" s="80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</row>
    <row r="454" spans="2:39" s="9" customFormat="1" ht="12.75">
      <c r="B454" s="11"/>
      <c r="C454" s="80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</row>
    <row r="455" spans="2:39" s="9" customFormat="1" ht="12.75">
      <c r="B455" s="11"/>
      <c r="C455" s="80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</row>
    <row r="456" spans="2:39" s="9" customFormat="1" ht="12.75">
      <c r="B456" s="11"/>
      <c r="C456" s="80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</row>
    <row r="457" spans="2:39" s="9" customFormat="1" ht="12.75">
      <c r="B457" s="11"/>
      <c r="C457" s="80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</row>
    <row r="458" spans="2:39" s="9" customFormat="1" ht="12.75">
      <c r="B458" s="11"/>
      <c r="C458" s="80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</row>
    <row r="459" spans="2:39" s="9" customFormat="1" ht="12.75">
      <c r="B459" s="11"/>
      <c r="C459" s="80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</row>
    <row r="460" spans="2:39" s="9" customFormat="1" ht="12.75">
      <c r="B460" s="11"/>
      <c r="C460" s="80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</row>
    <row r="461" spans="2:39" s="9" customFormat="1" ht="12.75">
      <c r="B461" s="11"/>
      <c r="C461" s="80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</row>
    <row r="462" spans="2:39" s="9" customFormat="1" ht="12.75">
      <c r="B462" s="11"/>
      <c r="C462" s="80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</row>
    <row r="463" spans="2:39" s="9" customFormat="1" ht="12.75">
      <c r="B463" s="11"/>
      <c r="C463" s="80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</row>
    <row r="464" spans="2:39" s="9" customFormat="1" ht="12.75">
      <c r="B464" s="11"/>
      <c r="C464" s="80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</row>
    <row r="465" spans="2:39" s="9" customFormat="1" ht="12.75">
      <c r="B465" s="11"/>
      <c r="C465" s="80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</row>
    <row r="466" spans="2:39" s="9" customFormat="1" ht="12.75">
      <c r="B466" s="11"/>
      <c r="C466" s="80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</row>
    <row r="467" spans="2:39" s="9" customFormat="1" ht="12.75">
      <c r="B467" s="11"/>
      <c r="C467" s="80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</row>
    <row r="468" spans="2:39" s="9" customFormat="1" ht="12.75">
      <c r="B468" s="11"/>
      <c r="C468" s="80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</row>
    <row r="469" spans="2:39" s="9" customFormat="1" ht="12.75">
      <c r="B469" s="11"/>
      <c r="C469" s="80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</row>
    <row r="470" spans="2:39" s="9" customFormat="1" ht="12.75">
      <c r="B470" s="11"/>
      <c r="C470" s="80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</row>
    <row r="471" spans="2:39" s="9" customFormat="1" ht="12.75">
      <c r="B471" s="11"/>
      <c r="C471" s="80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</row>
    <row r="472" spans="2:39" s="9" customFormat="1" ht="12.75">
      <c r="B472" s="11"/>
      <c r="C472" s="80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</row>
    <row r="473" spans="2:39" s="9" customFormat="1" ht="12.75">
      <c r="B473" s="11"/>
      <c r="C473" s="80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</row>
    <row r="474" spans="2:39" s="9" customFormat="1" ht="12.75">
      <c r="B474" s="11"/>
      <c r="C474" s="80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</row>
    <row r="475" spans="2:39" s="9" customFormat="1" ht="12.75">
      <c r="B475" s="11"/>
      <c r="C475" s="80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</row>
    <row r="476" spans="2:39" s="9" customFormat="1" ht="12.75">
      <c r="B476" s="11"/>
      <c r="C476" s="80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</row>
    <row r="477" spans="2:39" s="9" customFormat="1" ht="12.75">
      <c r="B477" s="11"/>
      <c r="C477" s="80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</row>
    <row r="478" spans="2:39" s="9" customFormat="1" ht="12.75">
      <c r="B478" s="11"/>
      <c r="C478" s="80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</row>
    <row r="479" spans="2:39" s="9" customFormat="1" ht="12.75">
      <c r="B479" s="11"/>
      <c r="C479" s="80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</row>
    <row r="480" spans="2:39" s="9" customFormat="1" ht="12.75">
      <c r="B480" s="11"/>
      <c r="C480" s="80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</row>
    <row r="481" spans="2:39" s="9" customFormat="1" ht="12.75">
      <c r="B481" s="11"/>
      <c r="C481" s="80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</row>
    <row r="482" spans="2:39" s="9" customFormat="1" ht="12.75">
      <c r="B482" s="11"/>
      <c r="C482" s="80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</row>
    <row r="483" spans="2:39" s="9" customFormat="1" ht="12.75">
      <c r="B483" s="11"/>
      <c r="C483" s="80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</row>
    <row r="484" spans="2:39" s="9" customFormat="1" ht="12.75">
      <c r="B484" s="11"/>
      <c r="C484" s="80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</row>
    <row r="485" spans="2:39" s="9" customFormat="1" ht="12.75">
      <c r="B485" s="11"/>
      <c r="C485" s="80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</row>
    <row r="486" spans="2:39" s="9" customFormat="1" ht="12.75">
      <c r="B486" s="11"/>
      <c r="C486" s="80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</row>
    <row r="487" spans="2:39" s="9" customFormat="1" ht="12.75">
      <c r="B487" s="11"/>
      <c r="C487" s="80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</row>
    <row r="488" spans="2:39" s="9" customFormat="1" ht="12.75">
      <c r="B488" s="11"/>
      <c r="C488" s="80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</row>
    <row r="489" spans="2:39" s="9" customFormat="1" ht="12.75">
      <c r="B489" s="11"/>
      <c r="C489" s="80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</row>
    <row r="490" spans="2:39" s="9" customFormat="1" ht="12.75">
      <c r="B490" s="11"/>
      <c r="C490" s="80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</row>
    <row r="491" spans="2:39" s="9" customFormat="1" ht="12.75">
      <c r="B491" s="11"/>
      <c r="C491" s="80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</row>
    <row r="492" spans="2:39" s="9" customFormat="1" ht="12.75">
      <c r="B492" s="11"/>
      <c r="C492" s="80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</row>
    <row r="493" spans="2:39" s="9" customFormat="1" ht="12.75">
      <c r="B493" s="11"/>
      <c r="C493" s="80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</row>
    <row r="494" spans="2:39" s="9" customFormat="1" ht="12.75">
      <c r="B494" s="11"/>
      <c r="C494" s="80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</row>
    <row r="495" spans="2:39" s="9" customFormat="1" ht="12.75">
      <c r="B495" s="11"/>
      <c r="C495" s="80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</row>
    <row r="496" spans="2:39" s="9" customFormat="1" ht="12.75">
      <c r="B496" s="11"/>
      <c r="C496" s="80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</row>
    <row r="497" spans="2:39" s="9" customFormat="1" ht="12.75">
      <c r="B497" s="11"/>
      <c r="C497" s="80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</row>
    <row r="498" spans="2:39" s="9" customFormat="1" ht="12.75">
      <c r="B498" s="11"/>
      <c r="C498" s="80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</row>
    <row r="499" spans="2:39" s="9" customFormat="1" ht="12.75">
      <c r="B499" s="11"/>
      <c r="C499" s="80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</row>
    <row r="500" spans="2:39" s="9" customFormat="1" ht="12.75">
      <c r="B500" s="11"/>
      <c r="C500" s="80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</row>
    <row r="501" spans="2:39" s="9" customFormat="1" ht="12.75">
      <c r="B501" s="11"/>
      <c r="C501" s="80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</row>
    <row r="502" spans="2:39" s="9" customFormat="1" ht="12.75">
      <c r="B502" s="11"/>
      <c r="C502" s="80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</row>
    <row r="503" spans="2:39" s="9" customFormat="1" ht="12.75">
      <c r="B503" s="11"/>
      <c r="C503" s="80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</row>
    <row r="504" spans="2:39" s="9" customFormat="1" ht="12.75">
      <c r="B504" s="11"/>
      <c r="C504" s="80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</row>
  </sheetData>
  <mergeCells count="4">
    <mergeCell ref="C5:O5"/>
    <mergeCell ref="A7:A21"/>
    <mergeCell ref="C27:O27"/>
    <mergeCell ref="A29:A44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AM509"/>
  <sheetViews>
    <sheetView workbookViewId="0" topLeftCell="A1">
      <selection activeCell="A1" sqref="A1"/>
    </sheetView>
  </sheetViews>
  <sheetFormatPr defaultColWidth="9.140625" defaultRowHeight="12.75"/>
  <cols>
    <col min="1" max="1" width="3.8515625" style="4" bestFit="1" customWidth="1"/>
    <col min="2" max="2" width="12.8515625" style="23" bestFit="1" customWidth="1"/>
    <col min="3" max="3" width="6.28125" style="7" customWidth="1"/>
    <col min="4" max="15" width="6.28125" style="4" customWidth="1"/>
    <col min="16" max="16" width="5.8515625" style="4" bestFit="1" customWidth="1"/>
    <col min="17" max="17" width="5.140625" style="4" bestFit="1" customWidth="1"/>
    <col min="18" max="18" width="5.7109375" style="4" bestFit="1" customWidth="1"/>
    <col min="19" max="20" width="6.00390625" style="4" bestFit="1" customWidth="1"/>
    <col min="21" max="21" width="7.28125" style="4" bestFit="1" customWidth="1"/>
    <col min="22" max="22" width="5.7109375" style="4" bestFit="1" customWidth="1"/>
    <col min="23" max="39" width="9.140625" style="2" customWidth="1"/>
    <col min="40" max="16384" width="9.140625" style="4" customWidth="1"/>
  </cols>
  <sheetData>
    <row r="1" spans="1:16" ht="18.75">
      <c r="A1" s="6" t="s">
        <v>196</v>
      </c>
      <c r="P1" s="6"/>
    </row>
    <row r="2" spans="1:16" ht="12.75">
      <c r="A2" s="5" t="s">
        <v>148</v>
      </c>
      <c r="P2" s="8"/>
    </row>
    <row r="3" spans="1:2" ht="9.75" customHeight="1">
      <c r="A3" s="13" t="s">
        <v>217</v>
      </c>
      <c r="B3" s="10"/>
    </row>
    <row r="4" spans="1:2" ht="9.75" customHeight="1" thickBot="1">
      <c r="A4" s="13"/>
      <c r="B4" s="10"/>
    </row>
    <row r="5" spans="2:15" ht="15" customHeight="1" thickBot="1">
      <c r="B5" s="10"/>
      <c r="C5" s="185">
        <v>2007</v>
      </c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7"/>
    </row>
    <row r="6" spans="2:15" ht="48" thickBot="1">
      <c r="B6" s="10"/>
      <c r="C6" s="51" t="s">
        <v>77</v>
      </c>
      <c r="D6" s="53" t="s">
        <v>78</v>
      </c>
      <c r="E6" s="53" t="s">
        <v>79</v>
      </c>
      <c r="F6" s="53" t="s">
        <v>80</v>
      </c>
      <c r="G6" s="53" t="s">
        <v>81</v>
      </c>
      <c r="H6" s="53" t="s">
        <v>82</v>
      </c>
      <c r="I6" s="53" t="s">
        <v>83</v>
      </c>
      <c r="J6" s="53" t="s">
        <v>84</v>
      </c>
      <c r="K6" s="53" t="s">
        <v>85</v>
      </c>
      <c r="L6" s="53" t="s">
        <v>86</v>
      </c>
      <c r="M6" s="53" t="s">
        <v>87</v>
      </c>
      <c r="N6" s="52" t="s">
        <v>88</v>
      </c>
      <c r="O6" s="73" t="s">
        <v>89</v>
      </c>
    </row>
    <row r="7" spans="1:22" ht="15.75">
      <c r="A7" s="195" t="s">
        <v>215</v>
      </c>
      <c r="B7" s="153" t="s">
        <v>197</v>
      </c>
      <c r="C7" s="39">
        <v>31</v>
      </c>
      <c r="D7" s="40">
        <v>72</v>
      </c>
      <c r="E7" s="40">
        <v>260</v>
      </c>
      <c r="F7" s="40">
        <v>704</v>
      </c>
      <c r="G7" s="40">
        <v>11643</v>
      </c>
      <c r="H7" s="40">
        <v>9796</v>
      </c>
      <c r="I7" s="40">
        <v>22712</v>
      </c>
      <c r="J7" s="40">
        <v>31631</v>
      </c>
      <c r="K7" s="40">
        <v>24860</v>
      </c>
      <c r="L7" s="40">
        <v>15673</v>
      </c>
      <c r="M7" s="40">
        <v>6909</v>
      </c>
      <c r="N7" s="41">
        <v>1444</v>
      </c>
      <c r="O7" s="82">
        <f>SUM(C7:N7)</f>
        <v>125735</v>
      </c>
      <c r="P7" s="75"/>
      <c r="Q7" s="75"/>
      <c r="R7" s="75"/>
      <c r="S7" s="75"/>
      <c r="T7" s="75"/>
      <c r="U7" s="75"/>
      <c r="V7" s="75"/>
    </row>
    <row r="8" spans="1:22" ht="15.75">
      <c r="A8" s="196"/>
      <c r="B8" s="154" t="s">
        <v>198</v>
      </c>
      <c r="C8" s="43">
        <v>4</v>
      </c>
      <c r="D8" s="44">
        <v>6</v>
      </c>
      <c r="E8" s="44">
        <v>4</v>
      </c>
      <c r="F8" s="44">
        <v>45</v>
      </c>
      <c r="G8" s="44">
        <v>1853</v>
      </c>
      <c r="H8" s="44">
        <v>3408</v>
      </c>
      <c r="I8" s="44">
        <v>2694</v>
      </c>
      <c r="J8" s="44">
        <v>1775</v>
      </c>
      <c r="K8" s="44">
        <v>2042</v>
      </c>
      <c r="L8" s="44">
        <v>2196</v>
      </c>
      <c r="M8" s="44">
        <v>715</v>
      </c>
      <c r="N8" s="45">
        <v>147</v>
      </c>
      <c r="O8" s="46">
        <f>SUM(C8:N8)</f>
        <v>14889</v>
      </c>
      <c r="P8" s="75"/>
      <c r="Q8" s="75"/>
      <c r="R8" s="75"/>
      <c r="S8" s="75"/>
      <c r="T8" s="75"/>
      <c r="U8" s="75"/>
      <c r="V8" s="75"/>
    </row>
    <row r="9" spans="1:22" ht="15.75">
      <c r="A9" s="196"/>
      <c r="B9" s="155" t="s">
        <v>199</v>
      </c>
      <c r="C9" s="34">
        <v>3</v>
      </c>
      <c r="D9" s="35">
        <v>0</v>
      </c>
      <c r="E9" s="35">
        <v>3</v>
      </c>
      <c r="F9" s="35">
        <v>1</v>
      </c>
      <c r="G9" s="35">
        <v>160</v>
      </c>
      <c r="H9" s="35">
        <v>229</v>
      </c>
      <c r="I9" s="35">
        <v>343</v>
      </c>
      <c r="J9" s="35">
        <v>575</v>
      </c>
      <c r="K9" s="35">
        <v>1080</v>
      </c>
      <c r="L9" s="35">
        <v>452</v>
      </c>
      <c r="M9" s="35">
        <v>34</v>
      </c>
      <c r="N9" s="36">
        <v>0</v>
      </c>
      <c r="O9" s="46">
        <f aca="true" t="shared" si="0" ref="O9:O25">SUM(C9:N9)</f>
        <v>2880</v>
      </c>
      <c r="P9" s="75"/>
      <c r="Q9" s="75"/>
      <c r="R9" s="75"/>
      <c r="S9" s="75"/>
      <c r="T9" s="75"/>
      <c r="U9" s="75"/>
      <c r="V9" s="75"/>
    </row>
    <row r="10" spans="1:22" ht="12.75">
      <c r="A10" s="196"/>
      <c r="B10" s="155" t="s">
        <v>200</v>
      </c>
      <c r="C10" s="34">
        <v>32</v>
      </c>
      <c r="D10" s="35">
        <v>17</v>
      </c>
      <c r="E10" s="35">
        <v>7</v>
      </c>
      <c r="F10" s="35">
        <v>66</v>
      </c>
      <c r="G10" s="35">
        <v>68</v>
      </c>
      <c r="H10" s="35">
        <v>261</v>
      </c>
      <c r="I10" s="35">
        <v>189</v>
      </c>
      <c r="J10" s="35">
        <v>224</v>
      </c>
      <c r="K10" s="35">
        <v>244</v>
      </c>
      <c r="L10" s="35">
        <v>146</v>
      </c>
      <c r="M10" s="35">
        <v>58</v>
      </c>
      <c r="N10" s="36">
        <v>5</v>
      </c>
      <c r="O10" s="46">
        <f t="shared" si="0"/>
        <v>1317</v>
      </c>
      <c r="P10" s="76"/>
      <c r="Q10" s="76"/>
      <c r="R10" s="76"/>
      <c r="S10" s="76"/>
      <c r="T10" s="76"/>
      <c r="U10" s="76"/>
      <c r="V10" s="76"/>
    </row>
    <row r="11" spans="1:22" ht="12.75">
      <c r="A11" s="196"/>
      <c r="B11" s="155" t="s">
        <v>201</v>
      </c>
      <c r="C11" s="34">
        <v>24</v>
      </c>
      <c r="D11" s="35">
        <v>1</v>
      </c>
      <c r="E11" s="35">
        <v>3</v>
      </c>
      <c r="F11" s="35">
        <v>64</v>
      </c>
      <c r="G11" s="35">
        <v>66</v>
      </c>
      <c r="H11" s="35">
        <v>257</v>
      </c>
      <c r="I11" s="35">
        <v>198</v>
      </c>
      <c r="J11" s="35">
        <v>252</v>
      </c>
      <c r="K11" s="35">
        <v>215</v>
      </c>
      <c r="L11" s="35">
        <v>191</v>
      </c>
      <c r="M11" s="35">
        <v>71</v>
      </c>
      <c r="N11" s="36">
        <v>12</v>
      </c>
      <c r="O11" s="46">
        <f t="shared" si="0"/>
        <v>1354</v>
      </c>
      <c r="P11" s="76"/>
      <c r="Q11" s="76"/>
      <c r="R11" s="76"/>
      <c r="S11" s="76"/>
      <c r="T11" s="76"/>
      <c r="U11" s="76"/>
      <c r="V11" s="76"/>
    </row>
    <row r="12" spans="1:39" s="7" customFormat="1" ht="12">
      <c r="A12" s="196"/>
      <c r="B12" s="155" t="s">
        <v>202</v>
      </c>
      <c r="C12" s="34">
        <v>3</v>
      </c>
      <c r="D12" s="35">
        <v>1</v>
      </c>
      <c r="E12" s="35">
        <v>0</v>
      </c>
      <c r="F12" s="35">
        <v>0</v>
      </c>
      <c r="G12" s="35">
        <v>29</v>
      </c>
      <c r="H12" s="35">
        <v>110</v>
      </c>
      <c r="I12" s="35">
        <v>213</v>
      </c>
      <c r="J12" s="83">
        <v>429</v>
      </c>
      <c r="K12" s="35">
        <v>496</v>
      </c>
      <c r="L12" s="35">
        <v>322</v>
      </c>
      <c r="M12" s="35">
        <v>97</v>
      </c>
      <c r="N12" s="36">
        <v>0</v>
      </c>
      <c r="O12" s="48">
        <f t="shared" si="0"/>
        <v>1700</v>
      </c>
      <c r="P12" s="77"/>
      <c r="Q12" s="78"/>
      <c r="R12" s="78"/>
      <c r="S12" s="77"/>
      <c r="T12" s="77"/>
      <c r="U12" s="78"/>
      <c r="V12" s="78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1:20" s="12" customFormat="1" ht="12.75">
      <c r="A13" s="196"/>
      <c r="B13" s="155" t="s">
        <v>203</v>
      </c>
      <c r="C13" s="34">
        <v>0</v>
      </c>
      <c r="D13" s="35">
        <v>2</v>
      </c>
      <c r="E13" s="35">
        <v>1</v>
      </c>
      <c r="F13" s="35">
        <v>6</v>
      </c>
      <c r="G13" s="35">
        <v>12</v>
      </c>
      <c r="H13" s="35">
        <v>10</v>
      </c>
      <c r="I13" s="35">
        <v>8</v>
      </c>
      <c r="J13" s="35">
        <v>22</v>
      </c>
      <c r="K13" s="35">
        <v>15</v>
      </c>
      <c r="L13" s="35">
        <v>4</v>
      </c>
      <c r="M13" s="35">
        <v>0</v>
      </c>
      <c r="N13" s="36">
        <v>0</v>
      </c>
      <c r="O13" s="48">
        <f t="shared" si="0"/>
        <v>80</v>
      </c>
      <c r="P13" s="79"/>
      <c r="Q13" s="79"/>
      <c r="R13" s="79"/>
      <c r="S13" s="79"/>
      <c r="T13" s="79"/>
    </row>
    <row r="14" spans="1:20" s="12" customFormat="1" ht="12.75">
      <c r="A14" s="196"/>
      <c r="B14" s="155" t="s">
        <v>204</v>
      </c>
      <c r="C14" s="34">
        <v>0</v>
      </c>
      <c r="D14" s="35">
        <v>0</v>
      </c>
      <c r="E14" s="35">
        <v>0</v>
      </c>
      <c r="F14" s="35">
        <v>0</v>
      </c>
      <c r="G14" s="35">
        <v>1</v>
      </c>
      <c r="H14" s="35">
        <v>19</v>
      </c>
      <c r="I14" s="35">
        <v>45</v>
      </c>
      <c r="J14" s="35">
        <v>19</v>
      </c>
      <c r="K14" s="35">
        <v>23</v>
      </c>
      <c r="L14" s="35">
        <v>7</v>
      </c>
      <c r="M14" s="35">
        <v>3</v>
      </c>
      <c r="N14" s="36">
        <v>0</v>
      </c>
      <c r="O14" s="48">
        <f t="shared" si="0"/>
        <v>117</v>
      </c>
      <c r="P14" s="79"/>
      <c r="Q14" s="79"/>
      <c r="R14" s="79"/>
      <c r="S14" s="79"/>
      <c r="T14" s="79"/>
    </row>
    <row r="15" spans="1:20" s="12" customFormat="1" ht="12.75">
      <c r="A15" s="196"/>
      <c r="B15" s="155" t="s">
        <v>223</v>
      </c>
      <c r="C15" s="34">
        <v>642</v>
      </c>
      <c r="D15" s="35">
        <v>2</v>
      </c>
      <c r="E15" s="35">
        <v>0</v>
      </c>
      <c r="F15" s="35">
        <v>0</v>
      </c>
      <c r="G15" s="35">
        <v>2</v>
      </c>
      <c r="H15" s="35">
        <v>82</v>
      </c>
      <c r="I15" s="35">
        <v>328</v>
      </c>
      <c r="J15" s="35">
        <v>686</v>
      </c>
      <c r="K15" s="35">
        <v>3427</v>
      </c>
      <c r="L15" s="35">
        <v>3374</v>
      </c>
      <c r="M15" s="35">
        <v>1790</v>
      </c>
      <c r="N15" s="36">
        <v>1508</v>
      </c>
      <c r="O15" s="48">
        <f t="shared" si="0"/>
        <v>11841</v>
      </c>
      <c r="P15" s="79"/>
      <c r="Q15" s="79"/>
      <c r="R15" s="79"/>
      <c r="S15" s="79"/>
      <c r="T15" s="79"/>
    </row>
    <row r="16" spans="1:20" s="12" customFormat="1" ht="12.75">
      <c r="A16" s="196"/>
      <c r="B16" s="155" t="s">
        <v>205</v>
      </c>
      <c r="C16" s="34">
        <v>0</v>
      </c>
      <c r="D16" s="35">
        <v>0</v>
      </c>
      <c r="E16" s="35">
        <v>0</v>
      </c>
      <c r="F16" s="35">
        <v>0</v>
      </c>
      <c r="G16" s="35">
        <v>0</v>
      </c>
      <c r="H16" s="35">
        <v>655</v>
      </c>
      <c r="I16" s="35">
        <v>2</v>
      </c>
      <c r="J16" s="35">
        <v>21</v>
      </c>
      <c r="K16" s="35">
        <v>0</v>
      </c>
      <c r="L16" s="35">
        <v>0</v>
      </c>
      <c r="M16" s="35">
        <v>0</v>
      </c>
      <c r="N16" s="36">
        <v>0</v>
      </c>
      <c r="O16" s="48">
        <f t="shared" si="0"/>
        <v>678</v>
      </c>
      <c r="P16" s="79"/>
      <c r="Q16" s="79"/>
      <c r="R16" s="79"/>
      <c r="S16" s="79"/>
      <c r="T16" s="79"/>
    </row>
    <row r="17" spans="1:20" s="12" customFormat="1" ht="12.75">
      <c r="A17" s="196"/>
      <c r="B17" s="155" t="s">
        <v>206</v>
      </c>
      <c r="C17" s="34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6">
        <v>0</v>
      </c>
      <c r="O17" s="48">
        <f t="shared" si="0"/>
        <v>0</v>
      </c>
      <c r="P17" s="79"/>
      <c r="Q17" s="79"/>
      <c r="R17" s="79"/>
      <c r="S17" s="79"/>
      <c r="T17" s="79"/>
    </row>
    <row r="18" spans="1:20" s="12" customFormat="1" ht="12.75">
      <c r="A18" s="196"/>
      <c r="B18" s="155" t="s">
        <v>207</v>
      </c>
      <c r="C18" s="34">
        <v>0</v>
      </c>
      <c r="D18" s="35">
        <v>0</v>
      </c>
      <c r="E18" s="35">
        <v>0</v>
      </c>
      <c r="F18" s="35">
        <v>0</v>
      </c>
      <c r="G18" s="35">
        <v>4</v>
      </c>
      <c r="H18" s="35">
        <v>9</v>
      </c>
      <c r="I18" s="35">
        <v>9</v>
      </c>
      <c r="J18" s="35">
        <v>23</v>
      </c>
      <c r="K18" s="35">
        <v>9</v>
      </c>
      <c r="L18" s="35">
        <v>10</v>
      </c>
      <c r="M18" s="35">
        <v>2</v>
      </c>
      <c r="N18" s="36">
        <v>1</v>
      </c>
      <c r="O18" s="48">
        <f t="shared" si="0"/>
        <v>67</v>
      </c>
      <c r="P18" s="79"/>
      <c r="Q18" s="79"/>
      <c r="R18" s="79"/>
      <c r="S18" s="79"/>
      <c r="T18" s="79"/>
    </row>
    <row r="19" spans="1:20" s="12" customFormat="1" ht="12.75">
      <c r="A19" s="196"/>
      <c r="B19" s="155" t="s">
        <v>208</v>
      </c>
      <c r="C19" s="34">
        <v>0</v>
      </c>
      <c r="D19" s="35">
        <v>0</v>
      </c>
      <c r="E19" s="35">
        <v>0</v>
      </c>
      <c r="F19" s="35">
        <v>4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6">
        <v>0</v>
      </c>
      <c r="O19" s="48">
        <f t="shared" si="0"/>
        <v>4</v>
      </c>
      <c r="P19" s="79"/>
      <c r="Q19" s="79"/>
      <c r="R19" s="79"/>
      <c r="S19" s="79"/>
      <c r="T19" s="79"/>
    </row>
    <row r="20" spans="1:20" s="12" customFormat="1" ht="12.75">
      <c r="A20" s="196"/>
      <c r="B20" s="155" t="s">
        <v>209</v>
      </c>
      <c r="C20" s="34">
        <v>0</v>
      </c>
      <c r="D20" s="35">
        <v>0</v>
      </c>
      <c r="E20" s="35">
        <v>0</v>
      </c>
      <c r="F20" s="35">
        <v>0</v>
      </c>
      <c r="G20" s="35">
        <v>70</v>
      </c>
      <c r="H20" s="35">
        <v>7</v>
      </c>
      <c r="I20" s="35">
        <v>1</v>
      </c>
      <c r="J20" s="35">
        <v>1</v>
      </c>
      <c r="K20" s="35">
        <v>1</v>
      </c>
      <c r="L20" s="35">
        <v>62</v>
      </c>
      <c r="M20" s="35">
        <v>0</v>
      </c>
      <c r="N20" s="36">
        <v>0</v>
      </c>
      <c r="O20" s="48">
        <f t="shared" si="0"/>
        <v>142</v>
      </c>
      <c r="P20" s="79"/>
      <c r="Q20" s="79"/>
      <c r="R20" s="79"/>
      <c r="S20" s="79"/>
      <c r="T20" s="79"/>
    </row>
    <row r="21" spans="1:20" s="12" customFormat="1" ht="12.75">
      <c r="A21" s="196"/>
      <c r="B21" s="155" t="s">
        <v>210</v>
      </c>
      <c r="C21" s="34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6">
        <v>0</v>
      </c>
      <c r="O21" s="48">
        <f t="shared" si="0"/>
        <v>0</v>
      </c>
      <c r="P21" s="79"/>
      <c r="Q21" s="79"/>
      <c r="R21" s="79"/>
      <c r="S21" s="79"/>
      <c r="T21" s="79"/>
    </row>
    <row r="22" spans="1:20" s="12" customFormat="1" ht="12.75">
      <c r="A22" s="196"/>
      <c r="B22" s="155" t="s">
        <v>211</v>
      </c>
      <c r="C22" s="34">
        <v>0</v>
      </c>
      <c r="D22" s="35">
        <v>0</v>
      </c>
      <c r="E22" s="35">
        <v>0</v>
      </c>
      <c r="F22" s="35">
        <v>0</v>
      </c>
      <c r="G22" s="35">
        <v>0</v>
      </c>
      <c r="H22" s="35">
        <v>2</v>
      </c>
      <c r="I22" s="35">
        <v>10</v>
      </c>
      <c r="J22" s="35">
        <v>11</v>
      </c>
      <c r="K22" s="35">
        <v>3</v>
      </c>
      <c r="L22" s="35">
        <v>1</v>
      </c>
      <c r="M22" s="35">
        <v>0</v>
      </c>
      <c r="N22" s="36">
        <v>0</v>
      </c>
      <c r="O22" s="48">
        <f t="shared" si="0"/>
        <v>27</v>
      </c>
      <c r="P22" s="79"/>
      <c r="Q22" s="79"/>
      <c r="R22" s="79"/>
      <c r="S22" s="79"/>
      <c r="T22" s="79"/>
    </row>
    <row r="23" spans="1:20" s="12" customFormat="1" ht="12.75">
      <c r="A23" s="196"/>
      <c r="B23" s="155" t="s">
        <v>212</v>
      </c>
      <c r="C23" s="34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6">
        <v>0</v>
      </c>
      <c r="O23" s="48">
        <f t="shared" si="0"/>
        <v>0</v>
      </c>
      <c r="P23" s="79"/>
      <c r="Q23" s="79"/>
      <c r="R23" s="79"/>
      <c r="S23" s="79"/>
      <c r="T23" s="79"/>
    </row>
    <row r="24" spans="1:20" s="12" customFormat="1" ht="12.75">
      <c r="A24" s="196"/>
      <c r="B24" s="155" t="s">
        <v>213</v>
      </c>
      <c r="C24" s="34">
        <v>0</v>
      </c>
      <c r="D24" s="35">
        <v>0</v>
      </c>
      <c r="E24" s="35">
        <v>0</v>
      </c>
      <c r="F24" s="35">
        <v>0</v>
      </c>
      <c r="G24" s="35">
        <v>0</v>
      </c>
      <c r="H24" s="35">
        <v>1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6">
        <v>0</v>
      </c>
      <c r="O24" s="48">
        <f t="shared" si="0"/>
        <v>1</v>
      </c>
      <c r="P24" s="79"/>
      <c r="Q24" s="79"/>
      <c r="R24" s="79"/>
      <c r="S24" s="79"/>
      <c r="T24" s="79"/>
    </row>
    <row r="25" spans="1:20" s="12" customFormat="1" ht="13.5" thickBot="1">
      <c r="A25" s="196"/>
      <c r="B25" s="158" t="s">
        <v>173</v>
      </c>
      <c r="C25" s="34">
        <v>102</v>
      </c>
      <c r="D25" s="35">
        <v>80</v>
      </c>
      <c r="E25" s="35">
        <v>112</v>
      </c>
      <c r="F25" s="35">
        <v>157</v>
      </c>
      <c r="G25" s="35">
        <v>239</v>
      </c>
      <c r="H25" s="35">
        <v>284</v>
      </c>
      <c r="I25" s="35">
        <v>286</v>
      </c>
      <c r="J25" s="35">
        <v>233</v>
      </c>
      <c r="K25" s="35">
        <v>285</v>
      </c>
      <c r="L25" s="35">
        <v>229</v>
      </c>
      <c r="M25" s="35">
        <v>192</v>
      </c>
      <c r="N25" s="36">
        <v>140</v>
      </c>
      <c r="O25" s="48">
        <f t="shared" si="0"/>
        <v>2339</v>
      </c>
      <c r="P25" s="79"/>
      <c r="Q25" s="79"/>
      <c r="R25" s="79"/>
      <c r="S25" s="79"/>
      <c r="T25" s="79"/>
    </row>
    <row r="26" spans="1:38" s="9" customFormat="1" ht="21.75" thickBot="1">
      <c r="A26" s="199"/>
      <c r="B26" s="81" t="s">
        <v>214</v>
      </c>
      <c r="C26" s="84">
        <f aca="true" t="shared" si="1" ref="C26:N26">SUM(C7:C25)</f>
        <v>841</v>
      </c>
      <c r="D26" s="84">
        <f t="shared" si="1"/>
        <v>181</v>
      </c>
      <c r="E26" s="84">
        <f t="shared" si="1"/>
        <v>390</v>
      </c>
      <c r="F26" s="84">
        <f t="shared" si="1"/>
        <v>1047</v>
      </c>
      <c r="G26" s="84">
        <f t="shared" si="1"/>
        <v>14147</v>
      </c>
      <c r="H26" s="84">
        <f t="shared" si="1"/>
        <v>15130</v>
      </c>
      <c r="I26" s="84">
        <f t="shared" si="1"/>
        <v>27038</v>
      </c>
      <c r="J26" s="84">
        <f t="shared" si="1"/>
        <v>35902</v>
      </c>
      <c r="K26" s="84">
        <f t="shared" si="1"/>
        <v>32700</v>
      </c>
      <c r="L26" s="84">
        <f t="shared" si="1"/>
        <v>22667</v>
      </c>
      <c r="M26" s="84">
        <f t="shared" si="1"/>
        <v>9871</v>
      </c>
      <c r="N26" s="42">
        <f t="shared" si="1"/>
        <v>3257</v>
      </c>
      <c r="O26" s="85">
        <f>SUM(C26:N26)</f>
        <v>163171</v>
      </c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</row>
    <row r="27" spans="1:39" s="9" customFormat="1" ht="12.75">
      <c r="A27" s="14"/>
      <c r="B27" s="11"/>
      <c r="C27" s="80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</row>
    <row r="28" spans="1:38" s="9" customFormat="1" ht="18.75">
      <c r="A28" s="6" t="s">
        <v>216</v>
      </c>
      <c r="B28" s="23"/>
      <c r="C28" s="7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</row>
    <row r="29" spans="1:39" s="9" customFormat="1" ht="12.75">
      <c r="A29" s="5" t="s">
        <v>148</v>
      </c>
      <c r="B29" s="23"/>
      <c r="C29" s="7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1:35" s="9" customFormat="1" ht="12.75">
      <c r="A30" s="13" t="s">
        <v>217</v>
      </c>
      <c r="B30" s="10"/>
      <c r="C30" s="7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</row>
    <row r="31" spans="1:35" s="9" customFormat="1" ht="9.75" customHeight="1" thickBot="1">
      <c r="A31" s="13"/>
      <c r="B31" s="10"/>
      <c r="C31" s="7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</row>
    <row r="32" spans="1:35" s="9" customFormat="1" ht="13.5" thickBot="1">
      <c r="A32" s="4"/>
      <c r="B32" s="10"/>
      <c r="C32" s="185">
        <v>2007</v>
      </c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7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1:39" s="9" customFormat="1" ht="48" thickBot="1">
      <c r="A33" s="4"/>
      <c r="B33" s="10"/>
      <c r="C33" s="51" t="s">
        <v>77</v>
      </c>
      <c r="D33" s="53" t="s">
        <v>78</v>
      </c>
      <c r="E33" s="53" t="s">
        <v>79</v>
      </c>
      <c r="F33" s="53" t="s">
        <v>80</v>
      </c>
      <c r="G33" s="53" t="s">
        <v>81</v>
      </c>
      <c r="H33" s="53" t="s">
        <v>82</v>
      </c>
      <c r="I33" s="53" t="s">
        <v>83</v>
      </c>
      <c r="J33" s="53" t="s">
        <v>84</v>
      </c>
      <c r="K33" s="53" t="s">
        <v>85</v>
      </c>
      <c r="L33" s="53" t="s">
        <v>86</v>
      </c>
      <c r="M33" s="53" t="s">
        <v>87</v>
      </c>
      <c r="N33" s="52" t="s">
        <v>88</v>
      </c>
      <c r="O33" s="73" t="s">
        <v>89</v>
      </c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 spans="1:39" s="9" customFormat="1" ht="12.75">
      <c r="A34" s="195" t="s">
        <v>0</v>
      </c>
      <c r="B34" s="153" t="s">
        <v>197</v>
      </c>
      <c r="C34" s="39">
        <v>13111</v>
      </c>
      <c r="D34" s="40">
        <v>31464</v>
      </c>
      <c r="E34" s="40">
        <v>45518</v>
      </c>
      <c r="F34" s="40">
        <v>150</v>
      </c>
      <c r="G34" s="40">
        <v>51</v>
      </c>
      <c r="H34" s="40">
        <v>0</v>
      </c>
      <c r="I34" s="40">
        <v>0</v>
      </c>
      <c r="J34" s="40">
        <v>0</v>
      </c>
      <c r="K34" s="40">
        <v>18</v>
      </c>
      <c r="L34" s="40">
        <v>335</v>
      </c>
      <c r="M34" s="40">
        <v>73</v>
      </c>
      <c r="N34" s="41">
        <v>878</v>
      </c>
      <c r="O34" s="82">
        <f>SUM(C34:N34)</f>
        <v>91598</v>
      </c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 spans="1:39" s="9" customFormat="1" ht="12.75">
      <c r="A35" s="196"/>
      <c r="B35" s="154" t="s">
        <v>198</v>
      </c>
      <c r="C35" s="43">
        <v>139</v>
      </c>
      <c r="D35" s="44">
        <v>78</v>
      </c>
      <c r="E35" s="44">
        <v>91</v>
      </c>
      <c r="F35" s="44">
        <v>42</v>
      </c>
      <c r="G35" s="44">
        <v>0</v>
      </c>
      <c r="H35" s="44">
        <v>0</v>
      </c>
      <c r="I35" s="44">
        <v>0</v>
      </c>
      <c r="J35" s="44">
        <v>1</v>
      </c>
      <c r="K35" s="44">
        <v>7</v>
      </c>
      <c r="L35" s="44">
        <v>0</v>
      </c>
      <c r="M35" s="44">
        <v>31</v>
      </c>
      <c r="N35" s="45">
        <v>217</v>
      </c>
      <c r="O35" s="46">
        <f>SUM(C35:N35)</f>
        <v>606</v>
      </c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</row>
    <row r="36" spans="1:39" s="9" customFormat="1" ht="12.75">
      <c r="A36" s="196"/>
      <c r="B36" s="155" t="s">
        <v>199</v>
      </c>
      <c r="C36" s="34">
        <v>4345</v>
      </c>
      <c r="D36" s="35">
        <v>3489</v>
      </c>
      <c r="E36" s="35">
        <v>2447</v>
      </c>
      <c r="F36" s="35">
        <v>575</v>
      </c>
      <c r="G36" s="35">
        <v>839</v>
      </c>
      <c r="H36" s="35">
        <v>35</v>
      </c>
      <c r="I36" s="35">
        <v>176</v>
      </c>
      <c r="J36" s="35">
        <v>216</v>
      </c>
      <c r="K36" s="35">
        <v>604</v>
      </c>
      <c r="L36" s="35">
        <v>24</v>
      </c>
      <c r="M36" s="35">
        <v>245</v>
      </c>
      <c r="N36" s="36">
        <v>3819</v>
      </c>
      <c r="O36" s="46">
        <f aca="true" t="shared" si="2" ref="O36:O53">SUM(C36:N36)</f>
        <v>16814</v>
      </c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</row>
    <row r="37" spans="1:39" s="9" customFormat="1" ht="12.75">
      <c r="A37" s="196"/>
      <c r="B37" s="155" t="s">
        <v>200</v>
      </c>
      <c r="C37" s="34">
        <v>502</v>
      </c>
      <c r="D37" s="35">
        <v>286</v>
      </c>
      <c r="E37" s="35">
        <v>276</v>
      </c>
      <c r="F37" s="35">
        <v>22</v>
      </c>
      <c r="G37" s="35">
        <v>32</v>
      </c>
      <c r="H37" s="35">
        <v>5</v>
      </c>
      <c r="I37" s="35">
        <v>37</v>
      </c>
      <c r="J37" s="35">
        <v>25</v>
      </c>
      <c r="K37" s="35">
        <v>179</v>
      </c>
      <c r="L37" s="35">
        <v>575</v>
      </c>
      <c r="M37" s="35">
        <v>961</v>
      </c>
      <c r="N37" s="36">
        <v>647</v>
      </c>
      <c r="O37" s="46">
        <f t="shared" si="2"/>
        <v>3547</v>
      </c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spans="1:39" s="9" customFormat="1" ht="12.75">
      <c r="A38" s="196"/>
      <c r="B38" s="155" t="s">
        <v>201</v>
      </c>
      <c r="C38" s="34">
        <v>138</v>
      </c>
      <c r="D38" s="35">
        <v>226</v>
      </c>
      <c r="E38" s="35">
        <v>9</v>
      </c>
      <c r="F38" s="35">
        <v>25</v>
      </c>
      <c r="G38" s="35">
        <v>257</v>
      </c>
      <c r="H38" s="35">
        <v>4</v>
      </c>
      <c r="I38" s="35">
        <v>14</v>
      </c>
      <c r="J38" s="35">
        <v>3</v>
      </c>
      <c r="K38" s="35">
        <v>10</v>
      </c>
      <c r="L38" s="35">
        <v>112</v>
      </c>
      <c r="M38" s="35">
        <v>602</v>
      </c>
      <c r="N38" s="36">
        <v>411</v>
      </c>
      <c r="O38" s="46">
        <f t="shared" si="2"/>
        <v>1811</v>
      </c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</row>
    <row r="39" spans="1:39" s="9" customFormat="1" ht="12.75">
      <c r="A39" s="196"/>
      <c r="B39" s="155" t="s">
        <v>202</v>
      </c>
      <c r="C39" s="34">
        <v>679</v>
      </c>
      <c r="D39" s="35">
        <v>444</v>
      </c>
      <c r="E39" s="35">
        <v>407</v>
      </c>
      <c r="F39" s="35">
        <v>410</v>
      </c>
      <c r="G39" s="35">
        <v>212</v>
      </c>
      <c r="H39" s="35">
        <v>11</v>
      </c>
      <c r="I39" s="35">
        <v>68</v>
      </c>
      <c r="J39" s="83">
        <v>179</v>
      </c>
      <c r="K39" s="35">
        <v>463</v>
      </c>
      <c r="L39" s="35">
        <v>589</v>
      </c>
      <c r="M39" s="35">
        <v>93</v>
      </c>
      <c r="N39" s="36">
        <v>646</v>
      </c>
      <c r="O39" s="46">
        <f t="shared" si="2"/>
        <v>4201</v>
      </c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</row>
    <row r="40" spans="1:39" s="9" customFormat="1" ht="12.75">
      <c r="A40" s="196"/>
      <c r="B40" s="155" t="s">
        <v>203</v>
      </c>
      <c r="C40" s="34">
        <v>442</v>
      </c>
      <c r="D40" s="35">
        <v>364</v>
      </c>
      <c r="E40" s="35">
        <v>191</v>
      </c>
      <c r="F40" s="35">
        <v>158</v>
      </c>
      <c r="G40" s="35">
        <v>115</v>
      </c>
      <c r="H40" s="35">
        <v>34</v>
      </c>
      <c r="I40" s="35">
        <v>4</v>
      </c>
      <c r="J40" s="35">
        <v>39</v>
      </c>
      <c r="K40" s="35">
        <v>43</v>
      </c>
      <c r="L40" s="35">
        <v>291</v>
      </c>
      <c r="M40" s="35">
        <v>676</v>
      </c>
      <c r="N40" s="36">
        <v>578</v>
      </c>
      <c r="O40" s="46">
        <f t="shared" si="2"/>
        <v>2935</v>
      </c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</row>
    <row r="41" spans="1:39" s="9" customFormat="1" ht="12.75">
      <c r="A41" s="196"/>
      <c r="B41" s="155" t="s">
        <v>204</v>
      </c>
      <c r="C41" s="34">
        <v>624</v>
      </c>
      <c r="D41" s="35">
        <v>746</v>
      </c>
      <c r="E41" s="35">
        <v>743</v>
      </c>
      <c r="F41" s="35">
        <v>532</v>
      </c>
      <c r="G41" s="35">
        <v>136</v>
      </c>
      <c r="H41" s="35">
        <v>78</v>
      </c>
      <c r="I41" s="35">
        <v>24</v>
      </c>
      <c r="J41" s="35">
        <v>131</v>
      </c>
      <c r="K41" s="35">
        <v>261</v>
      </c>
      <c r="L41" s="35">
        <v>1623</v>
      </c>
      <c r="M41" s="35">
        <v>1118</v>
      </c>
      <c r="N41" s="36">
        <v>934</v>
      </c>
      <c r="O41" s="46">
        <f t="shared" si="2"/>
        <v>6950</v>
      </c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</row>
    <row r="42" spans="1:39" s="9" customFormat="1" ht="12.75">
      <c r="A42" s="196"/>
      <c r="B42" s="155" t="s">
        <v>223</v>
      </c>
      <c r="C42" s="34">
        <v>1410</v>
      </c>
      <c r="D42" s="35">
        <v>2035</v>
      </c>
      <c r="E42" s="35">
        <v>3328</v>
      </c>
      <c r="F42" s="35">
        <v>4038</v>
      </c>
      <c r="G42" s="35">
        <v>81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6">
        <v>0</v>
      </c>
      <c r="O42" s="46">
        <f t="shared" si="2"/>
        <v>10892</v>
      </c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</row>
    <row r="43" spans="1:39" s="9" customFormat="1" ht="12.75">
      <c r="A43" s="196"/>
      <c r="B43" s="155" t="s">
        <v>205</v>
      </c>
      <c r="C43" s="34">
        <v>266</v>
      </c>
      <c r="D43" s="35">
        <v>129</v>
      </c>
      <c r="E43" s="35">
        <v>46</v>
      </c>
      <c r="F43" s="35">
        <v>28</v>
      </c>
      <c r="G43" s="35">
        <v>59</v>
      </c>
      <c r="H43" s="35">
        <v>195</v>
      </c>
      <c r="I43" s="35">
        <v>389</v>
      </c>
      <c r="J43" s="35">
        <v>460</v>
      </c>
      <c r="K43" s="35">
        <v>609</v>
      </c>
      <c r="L43" s="35">
        <v>133</v>
      </c>
      <c r="M43" s="35">
        <v>58</v>
      </c>
      <c r="N43" s="36">
        <v>78</v>
      </c>
      <c r="O43" s="46">
        <f t="shared" si="2"/>
        <v>2450</v>
      </c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1:39" s="9" customFormat="1" ht="12.75">
      <c r="A44" s="196"/>
      <c r="B44" s="155" t="s">
        <v>206</v>
      </c>
      <c r="C44" s="34">
        <v>33</v>
      </c>
      <c r="D44" s="35">
        <v>83</v>
      </c>
      <c r="E44" s="35">
        <v>81</v>
      </c>
      <c r="F44" s="35">
        <v>306</v>
      </c>
      <c r="G44" s="35">
        <v>113</v>
      </c>
      <c r="H44" s="35">
        <v>0</v>
      </c>
      <c r="I44" s="35">
        <v>0</v>
      </c>
      <c r="J44" s="35">
        <v>0</v>
      </c>
      <c r="K44" s="35">
        <v>4</v>
      </c>
      <c r="L44" s="35">
        <v>45</v>
      </c>
      <c r="M44" s="35">
        <v>159</v>
      </c>
      <c r="N44" s="36">
        <v>83</v>
      </c>
      <c r="O44" s="46">
        <f t="shared" si="2"/>
        <v>907</v>
      </c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</row>
    <row r="45" spans="1:39" s="9" customFormat="1" ht="12.75">
      <c r="A45" s="196"/>
      <c r="B45" s="155" t="s">
        <v>207</v>
      </c>
      <c r="C45" s="34">
        <v>292</v>
      </c>
      <c r="D45" s="35">
        <v>375</v>
      </c>
      <c r="E45" s="35">
        <v>529</v>
      </c>
      <c r="F45" s="35">
        <v>286</v>
      </c>
      <c r="G45" s="35">
        <v>85</v>
      </c>
      <c r="H45" s="35">
        <v>16</v>
      </c>
      <c r="I45" s="35">
        <v>1</v>
      </c>
      <c r="J45" s="35">
        <v>30</v>
      </c>
      <c r="K45" s="35">
        <v>0</v>
      </c>
      <c r="L45" s="35">
        <v>224</v>
      </c>
      <c r="M45" s="35">
        <v>229</v>
      </c>
      <c r="N45" s="36">
        <v>0</v>
      </c>
      <c r="O45" s="46">
        <f t="shared" si="2"/>
        <v>2067</v>
      </c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</row>
    <row r="46" spans="1:39" s="9" customFormat="1" ht="12.75">
      <c r="A46" s="196"/>
      <c r="B46" s="155" t="s">
        <v>208</v>
      </c>
      <c r="C46" s="34">
        <v>32</v>
      </c>
      <c r="D46" s="35">
        <v>17</v>
      </c>
      <c r="E46" s="35">
        <v>12</v>
      </c>
      <c r="F46" s="35">
        <v>453</v>
      </c>
      <c r="G46" s="35">
        <v>67</v>
      </c>
      <c r="H46" s="35">
        <v>0</v>
      </c>
      <c r="I46" s="35">
        <v>0</v>
      </c>
      <c r="J46" s="35">
        <v>0</v>
      </c>
      <c r="K46" s="35">
        <v>143</v>
      </c>
      <c r="L46" s="35">
        <v>0</v>
      </c>
      <c r="M46" s="35">
        <v>0</v>
      </c>
      <c r="N46" s="36">
        <v>252</v>
      </c>
      <c r="O46" s="46">
        <f t="shared" si="2"/>
        <v>976</v>
      </c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1:39" s="9" customFormat="1" ht="12.75">
      <c r="A47" s="196"/>
      <c r="B47" s="155" t="s">
        <v>209</v>
      </c>
      <c r="C47" s="34">
        <v>1216</v>
      </c>
      <c r="D47" s="35">
        <v>1135</v>
      </c>
      <c r="E47" s="35">
        <v>1077</v>
      </c>
      <c r="F47" s="35">
        <v>301</v>
      </c>
      <c r="G47" s="35">
        <v>81</v>
      </c>
      <c r="H47" s="35">
        <v>170</v>
      </c>
      <c r="I47" s="35">
        <v>80</v>
      </c>
      <c r="J47" s="35">
        <v>1782</v>
      </c>
      <c r="K47" s="35">
        <v>0</v>
      </c>
      <c r="L47" s="35">
        <v>0</v>
      </c>
      <c r="M47" s="35">
        <v>177</v>
      </c>
      <c r="N47" s="36">
        <v>1200</v>
      </c>
      <c r="O47" s="46">
        <f t="shared" si="2"/>
        <v>7219</v>
      </c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48" spans="1:39" s="9" customFormat="1" ht="12.75">
      <c r="A48" s="196"/>
      <c r="B48" s="155" t="s">
        <v>210</v>
      </c>
      <c r="C48" s="34">
        <v>196</v>
      </c>
      <c r="D48" s="35">
        <v>271</v>
      </c>
      <c r="E48" s="35">
        <v>198</v>
      </c>
      <c r="F48" s="35">
        <v>1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22</v>
      </c>
      <c r="M48" s="35">
        <v>202</v>
      </c>
      <c r="N48" s="36">
        <v>277</v>
      </c>
      <c r="O48" s="46">
        <f t="shared" si="2"/>
        <v>1167</v>
      </c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</row>
    <row r="49" spans="1:39" s="9" customFormat="1" ht="12.75">
      <c r="A49" s="196"/>
      <c r="B49" s="155" t="s">
        <v>211</v>
      </c>
      <c r="C49" s="34">
        <v>1404</v>
      </c>
      <c r="D49" s="35">
        <v>1154</v>
      </c>
      <c r="E49" s="35">
        <v>1372</v>
      </c>
      <c r="F49" s="35">
        <v>1263</v>
      </c>
      <c r="G49" s="35">
        <v>632</v>
      </c>
      <c r="H49" s="35">
        <v>58</v>
      </c>
      <c r="I49" s="35">
        <v>558</v>
      </c>
      <c r="J49" s="35">
        <v>549</v>
      </c>
      <c r="K49" s="35">
        <v>837</v>
      </c>
      <c r="L49" s="35">
        <v>1774</v>
      </c>
      <c r="M49" s="35">
        <v>1543</v>
      </c>
      <c r="N49" s="36">
        <v>1042</v>
      </c>
      <c r="O49" s="46">
        <f t="shared" si="2"/>
        <v>12186</v>
      </c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</row>
    <row r="50" spans="1:39" s="9" customFormat="1" ht="12.75">
      <c r="A50" s="196"/>
      <c r="B50" s="155" t="s">
        <v>212</v>
      </c>
      <c r="C50" s="34">
        <v>369</v>
      </c>
      <c r="D50" s="35">
        <v>283</v>
      </c>
      <c r="E50" s="35">
        <v>113</v>
      </c>
      <c r="F50" s="35">
        <v>1</v>
      </c>
      <c r="G50" s="35">
        <v>158</v>
      </c>
      <c r="H50" s="35">
        <v>0</v>
      </c>
      <c r="I50" s="35">
        <v>0</v>
      </c>
      <c r="J50" s="35">
        <v>0</v>
      </c>
      <c r="K50" s="35">
        <v>6</v>
      </c>
      <c r="L50" s="35">
        <v>42</v>
      </c>
      <c r="M50" s="35">
        <v>202</v>
      </c>
      <c r="N50" s="36">
        <v>363</v>
      </c>
      <c r="O50" s="46">
        <f t="shared" si="2"/>
        <v>1537</v>
      </c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</row>
    <row r="51" spans="1:39" s="9" customFormat="1" ht="12.75">
      <c r="A51" s="196"/>
      <c r="B51" s="155" t="s">
        <v>213</v>
      </c>
      <c r="C51" s="34">
        <v>272</v>
      </c>
      <c r="D51" s="35">
        <v>167</v>
      </c>
      <c r="E51" s="35">
        <v>280</v>
      </c>
      <c r="F51" s="35">
        <v>114</v>
      </c>
      <c r="G51" s="35">
        <v>0</v>
      </c>
      <c r="H51" s="35">
        <v>0</v>
      </c>
      <c r="I51" s="35">
        <v>19</v>
      </c>
      <c r="J51" s="35">
        <v>22</v>
      </c>
      <c r="K51" s="35">
        <v>0</v>
      </c>
      <c r="L51" s="35">
        <v>0</v>
      </c>
      <c r="M51" s="35">
        <v>13</v>
      </c>
      <c r="N51" s="36">
        <v>19</v>
      </c>
      <c r="O51" s="46">
        <f t="shared" si="2"/>
        <v>906</v>
      </c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</row>
    <row r="52" spans="1:39" s="9" customFormat="1" ht="13.5" thickBot="1">
      <c r="A52" s="196"/>
      <c r="B52" s="158" t="s">
        <v>173</v>
      </c>
      <c r="C52" s="57">
        <v>46</v>
      </c>
      <c r="D52" s="37">
        <v>52</v>
      </c>
      <c r="E52" s="37">
        <v>39</v>
      </c>
      <c r="F52" s="37">
        <v>29</v>
      </c>
      <c r="G52" s="37">
        <v>32</v>
      </c>
      <c r="H52" s="37">
        <v>10</v>
      </c>
      <c r="I52" s="37">
        <v>20</v>
      </c>
      <c r="J52" s="37">
        <v>14</v>
      </c>
      <c r="K52" s="37">
        <f>14+43</f>
        <v>57</v>
      </c>
      <c r="L52" s="37">
        <f>21+36</f>
        <v>57</v>
      </c>
      <c r="M52" s="37">
        <f>18+22</f>
        <v>40</v>
      </c>
      <c r="N52" s="38">
        <f>70+163</f>
        <v>233</v>
      </c>
      <c r="O52" s="99">
        <f t="shared" si="2"/>
        <v>629</v>
      </c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</row>
    <row r="53" spans="1:39" s="9" customFormat="1" ht="21.75" thickBot="1">
      <c r="A53" s="199"/>
      <c r="B53" s="86" t="s">
        <v>214</v>
      </c>
      <c r="C53" s="74">
        <f>SUM(C34:C52)</f>
        <v>25516</v>
      </c>
      <c r="D53" s="96">
        <f aca="true" t="shared" si="3" ref="D53:N53">SUM(D34:D52)</f>
        <v>42798</v>
      </c>
      <c r="E53" s="96">
        <f t="shared" si="3"/>
        <v>56757</v>
      </c>
      <c r="F53" s="96">
        <f t="shared" si="3"/>
        <v>8734</v>
      </c>
      <c r="G53" s="96">
        <f t="shared" si="3"/>
        <v>2950</v>
      </c>
      <c r="H53" s="96">
        <f t="shared" si="3"/>
        <v>616</v>
      </c>
      <c r="I53" s="96">
        <f t="shared" si="3"/>
        <v>1390</v>
      </c>
      <c r="J53" s="96">
        <f t="shared" si="3"/>
        <v>3451</v>
      </c>
      <c r="K53" s="96">
        <f t="shared" si="3"/>
        <v>3241</v>
      </c>
      <c r="L53" s="96">
        <f t="shared" si="3"/>
        <v>5846</v>
      </c>
      <c r="M53" s="96">
        <f t="shared" si="3"/>
        <v>6422</v>
      </c>
      <c r="N53" s="97">
        <f t="shared" si="3"/>
        <v>11677</v>
      </c>
      <c r="O53" s="85">
        <f t="shared" si="2"/>
        <v>169398</v>
      </c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</row>
    <row r="54" spans="1:39" s="9" customFormat="1" ht="12.75">
      <c r="A54" s="14"/>
      <c r="B54" s="11"/>
      <c r="C54" s="80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</row>
    <row r="55" spans="1:39" s="9" customFormat="1" ht="12.75">
      <c r="A55" s="14"/>
      <c r="B55" s="11"/>
      <c r="C55" s="80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</row>
    <row r="56" spans="1:39" s="9" customFormat="1" ht="12.75">
      <c r="A56" s="14"/>
      <c r="B56" s="11"/>
      <c r="C56" s="80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</row>
    <row r="57" spans="1:39" s="9" customFormat="1" ht="12.75">
      <c r="A57" s="14"/>
      <c r="B57" s="11"/>
      <c r="C57" s="80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1:39" s="9" customFormat="1" ht="12.75">
      <c r="A58" s="14"/>
      <c r="B58" s="11"/>
      <c r="C58" s="80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1:39" s="9" customFormat="1" ht="12.75">
      <c r="A59" s="14"/>
      <c r="B59" s="11"/>
      <c r="C59" s="80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1:39" s="9" customFormat="1" ht="12.75">
      <c r="A60" s="14"/>
      <c r="B60" s="11"/>
      <c r="C60" s="80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  <row r="61" spans="1:39" s="9" customFormat="1" ht="12.75">
      <c r="A61" s="14"/>
      <c r="B61" s="11"/>
      <c r="C61" s="80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</row>
    <row r="62" spans="1:39" s="9" customFormat="1" ht="12.75">
      <c r="A62" s="14"/>
      <c r="B62" s="11"/>
      <c r="C62" s="80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</row>
    <row r="63" spans="1:39" s="9" customFormat="1" ht="12.75">
      <c r="A63" s="14"/>
      <c r="B63" s="11"/>
      <c r="C63" s="80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</row>
    <row r="64" spans="1:39" s="9" customFormat="1" ht="12.75">
      <c r="A64" s="14"/>
      <c r="B64" s="11"/>
      <c r="C64" s="80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</row>
    <row r="65" spans="1:39" s="9" customFormat="1" ht="12.75">
      <c r="A65" s="14"/>
      <c r="B65" s="11"/>
      <c r="C65" s="80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</row>
    <row r="66" spans="1:39" s="9" customFormat="1" ht="12.75">
      <c r="A66" s="14"/>
      <c r="B66" s="11"/>
      <c r="C66" s="80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</row>
    <row r="67" spans="1:39" s="9" customFormat="1" ht="12.75">
      <c r="A67" s="14"/>
      <c r="B67" s="11"/>
      <c r="C67" s="80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</row>
    <row r="68" spans="1:39" s="9" customFormat="1" ht="12.75">
      <c r="A68" s="14"/>
      <c r="B68" s="11"/>
      <c r="C68" s="80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</row>
    <row r="69" spans="1:39" s="9" customFormat="1" ht="12.75">
      <c r="A69" s="14"/>
      <c r="B69" s="11"/>
      <c r="C69" s="80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</row>
    <row r="70" spans="1:39" s="9" customFormat="1" ht="12.75">
      <c r="A70" s="14"/>
      <c r="B70" s="11"/>
      <c r="C70" s="80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</row>
    <row r="71" spans="1:39" s="9" customFormat="1" ht="12.75">
      <c r="A71" s="14"/>
      <c r="B71" s="11"/>
      <c r="C71" s="80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</row>
    <row r="72" spans="1:39" s="9" customFormat="1" ht="12.75">
      <c r="A72" s="14"/>
      <c r="B72" s="11"/>
      <c r="C72" s="80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</row>
    <row r="73" spans="1:39" s="9" customFormat="1" ht="12.75">
      <c r="A73" s="14"/>
      <c r="B73" s="11"/>
      <c r="C73" s="80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</row>
    <row r="74" spans="1:39" s="9" customFormat="1" ht="12.75">
      <c r="A74" s="14"/>
      <c r="B74" s="11"/>
      <c r="C74" s="80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</row>
    <row r="75" spans="1:39" s="9" customFormat="1" ht="12.75">
      <c r="A75" s="14"/>
      <c r="B75" s="11"/>
      <c r="C75" s="80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</row>
    <row r="76" spans="1:39" s="9" customFormat="1" ht="12.75">
      <c r="A76" s="14"/>
      <c r="B76" s="11"/>
      <c r="C76" s="80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</row>
    <row r="77" spans="1:39" s="9" customFormat="1" ht="12.75">
      <c r="A77" s="14"/>
      <c r="B77" s="11"/>
      <c r="C77" s="80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</row>
    <row r="78" spans="1:39" s="9" customFormat="1" ht="12.75">
      <c r="A78" s="14"/>
      <c r="B78" s="11"/>
      <c r="C78" s="80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</row>
    <row r="79" spans="1:39" s="9" customFormat="1" ht="12.75">
      <c r="A79" s="14"/>
      <c r="B79" s="11"/>
      <c r="C79" s="80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</row>
    <row r="80" spans="1:39" s="9" customFormat="1" ht="12.75">
      <c r="A80" s="14"/>
      <c r="B80" s="11"/>
      <c r="C80" s="80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</row>
    <row r="81" spans="1:39" s="9" customFormat="1" ht="12.75">
      <c r="A81" s="14"/>
      <c r="B81" s="11"/>
      <c r="C81" s="80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</row>
    <row r="82" spans="1:39" s="9" customFormat="1" ht="12.75">
      <c r="A82" s="14"/>
      <c r="B82" s="11"/>
      <c r="C82" s="80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</row>
    <row r="83" spans="1:39" s="9" customFormat="1" ht="12.75">
      <c r="A83" s="14"/>
      <c r="B83" s="11"/>
      <c r="C83" s="80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</row>
    <row r="84" spans="1:39" s="9" customFormat="1" ht="12.75">
      <c r="A84" s="14"/>
      <c r="B84" s="11"/>
      <c r="C84" s="80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</row>
    <row r="85" spans="1:39" s="9" customFormat="1" ht="12.75">
      <c r="A85" s="14"/>
      <c r="B85" s="11"/>
      <c r="C85" s="80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</row>
    <row r="86" spans="1:39" s="9" customFormat="1" ht="12.75">
      <c r="A86" s="14"/>
      <c r="B86" s="11"/>
      <c r="C86" s="80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</row>
    <row r="87" spans="1:39" s="9" customFormat="1" ht="12.75">
      <c r="A87" s="14"/>
      <c r="B87" s="11"/>
      <c r="C87" s="80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</row>
    <row r="88" spans="1:39" s="9" customFormat="1" ht="12.75">
      <c r="A88" s="14"/>
      <c r="B88" s="11"/>
      <c r="C88" s="80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</row>
    <row r="89" spans="1:39" s="9" customFormat="1" ht="12.75">
      <c r="A89" s="14"/>
      <c r="B89" s="11"/>
      <c r="C89" s="80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</row>
    <row r="90" spans="1:39" s="9" customFormat="1" ht="12.75">
      <c r="A90" s="14"/>
      <c r="B90" s="11"/>
      <c r="C90" s="80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</row>
    <row r="91" spans="1:39" s="9" customFormat="1" ht="12.75">
      <c r="A91" s="14"/>
      <c r="B91" s="11"/>
      <c r="C91" s="80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</row>
    <row r="92" spans="1:39" s="9" customFormat="1" ht="12.75">
      <c r="A92" s="14"/>
      <c r="B92" s="11"/>
      <c r="C92" s="80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</row>
    <row r="93" spans="1:39" s="9" customFormat="1" ht="12.75">
      <c r="A93" s="14"/>
      <c r="B93" s="11"/>
      <c r="C93" s="80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</row>
    <row r="94" spans="1:39" s="9" customFormat="1" ht="12.75">
      <c r="A94" s="14"/>
      <c r="B94" s="11"/>
      <c r="C94" s="80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</row>
    <row r="95" spans="1:39" s="9" customFormat="1" ht="12.75">
      <c r="A95" s="14"/>
      <c r="B95" s="11"/>
      <c r="C95" s="80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</row>
    <row r="96" spans="1:39" s="9" customFormat="1" ht="12.75">
      <c r="A96" s="14"/>
      <c r="B96" s="11"/>
      <c r="C96" s="80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</row>
    <row r="97" spans="1:39" s="9" customFormat="1" ht="12.75">
      <c r="A97" s="14"/>
      <c r="B97" s="11"/>
      <c r="C97" s="80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</row>
    <row r="98" spans="1:39" s="9" customFormat="1" ht="12.75">
      <c r="A98" s="14"/>
      <c r="B98" s="11"/>
      <c r="C98" s="80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</row>
    <row r="99" spans="1:39" s="9" customFormat="1" ht="12.75">
      <c r="A99" s="14"/>
      <c r="B99" s="11"/>
      <c r="C99" s="80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</row>
    <row r="100" spans="1:39" s="9" customFormat="1" ht="12.75">
      <c r="A100" s="14"/>
      <c r="B100" s="11"/>
      <c r="C100" s="80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</row>
    <row r="101" spans="1:39" s="9" customFormat="1" ht="12.75">
      <c r="A101" s="14"/>
      <c r="B101" s="11"/>
      <c r="C101" s="80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</row>
    <row r="102" spans="1:39" s="9" customFormat="1" ht="12.75">
      <c r="A102" s="14"/>
      <c r="B102" s="11"/>
      <c r="C102" s="80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</row>
    <row r="103" spans="1:39" s="9" customFormat="1" ht="12.75">
      <c r="A103" s="14"/>
      <c r="B103" s="11"/>
      <c r="C103" s="80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</row>
    <row r="104" spans="1:39" s="9" customFormat="1" ht="12.75">
      <c r="A104" s="14"/>
      <c r="B104" s="11"/>
      <c r="C104" s="80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</row>
    <row r="105" spans="1:39" s="9" customFormat="1" ht="12.75">
      <c r="A105" s="14"/>
      <c r="B105" s="11"/>
      <c r="C105" s="80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</row>
    <row r="106" spans="1:39" s="9" customFormat="1" ht="12.75">
      <c r="A106" s="14"/>
      <c r="B106" s="11"/>
      <c r="C106" s="80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</row>
    <row r="107" spans="1:39" s="9" customFormat="1" ht="12.75">
      <c r="A107" s="14"/>
      <c r="B107" s="11"/>
      <c r="C107" s="80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</row>
    <row r="108" spans="1:39" s="9" customFormat="1" ht="12.75">
      <c r="A108" s="14"/>
      <c r="B108" s="11"/>
      <c r="C108" s="80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</row>
    <row r="109" spans="1:39" s="9" customFormat="1" ht="12.75">
      <c r="A109" s="14"/>
      <c r="B109" s="11"/>
      <c r="C109" s="80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</row>
    <row r="110" spans="1:39" s="9" customFormat="1" ht="12.75">
      <c r="A110" s="14"/>
      <c r="B110" s="11"/>
      <c r="C110" s="80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</row>
    <row r="111" spans="1:39" s="9" customFormat="1" ht="12.75">
      <c r="A111" s="14"/>
      <c r="B111" s="11"/>
      <c r="C111" s="80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</row>
    <row r="112" spans="1:39" s="9" customFormat="1" ht="12.75">
      <c r="A112" s="14"/>
      <c r="B112" s="11"/>
      <c r="C112" s="80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</row>
    <row r="113" spans="1:39" s="9" customFormat="1" ht="12.75">
      <c r="A113" s="14"/>
      <c r="B113" s="11"/>
      <c r="C113" s="80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</row>
    <row r="114" spans="1:39" s="9" customFormat="1" ht="12.75">
      <c r="A114" s="14"/>
      <c r="B114" s="11"/>
      <c r="C114" s="80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</row>
    <row r="115" spans="1:39" s="9" customFormat="1" ht="12.75">
      <c r="A115" s="14"/>
      <c r="B115" s="11"/>
      <c r="C115" s="80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</row>
    <row r="116" spans="1:39" s="9" customFormat="1" ht="12.75">
      <c r="A116" s="14"/>
      <c r="B116" s="11"/>
      <c r="C116" s="80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</row>
    <row r="117" spans="1:39" s="9" customFormat="1" ht="12.75">
      <c r="A117" s="14"/>
      <c r="B117" s="11"/>
      <c r="C117" s="80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</row>
    <row r="118" spans="1:39" s="9" customFormat="1" ht="12.75">
      <c r="A118" s="14"/>
      <c r="B118" s="11"/>
      <c r="C118" s="80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</row>
    <row r="119" spans="1:39" s="9" customFormat="1" ht="12.75">
      <c r="A119" s="14"/>
      <c r="B119" s="11"/>
      <c r="C119" s="80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</row>
    <row r="120" spans="1:39" s="9" customFormat="1" ht="12.75">
      <c r="A120" s="14"/>
      <c r="B120" s="11"/>
      <c r="C120" s="80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</row>
    <row r="121" spans="1:39" s="9" customFormat="1" ht="12.75">
      <c r="A121" s="14"/>
      <c r="B121" s="11"/>
      <c r="C121" s="80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</row>
    <row r="122" spans="1:39" s="9" customFormat="1" ht="12.75">
      <c r="A122" s="14"/>
      <c r="B122" s="11"/>
      <c r="C122" s="80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</row>
    <row r="123" spans="1:39" s="9" customFormat="1" ht="12.75">
      <c r="A123" s="14"/>
      <c r="B123" s="11"/>
      <c r="C123" s="80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</row>
    <row r="124" spans="1:39" s="9" customFormat="1" ht="12.75">
      <c r="A124" s="14"/>
      <c r="B124" s="11"/>
      <c r="C124" s="80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</row>
    <row r="125" spans="1:39" s="9" customFormat="1" ht="12.75">
      <c r="A125" s="14"/>
      <c r="B125" s="11"/>
      <c r="C125" s="80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</row>
    <row r="126" spans="1:39" s="9" customFormat="1" ht="12.75">
      <c r="A126" s="14"/>
      <c r="B126" s="11"/>
      <c r="C126" s="80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</row>
    <row r="127" spans="1:39" s="9" customFormat="1" ht="12.75">
      <c r="A127" s="14"/>
      <c r="B127" s="11"/>
      <c r="C127" s="80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</row>
    <row r="128" spans="1:39" s="9" customFormat="1" ht="12.75">
      <c r="A128" s="14"/>
      <c r="B128" s="11"/>
      <c r="C128" s="80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</row>
    <row r="129" spans="1:39" s="9" customFormat="1" ht="12.75">
      <c r="A129" s="14"/>
      <c r="B129" s="11"/>
      <c r="C129" s="80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</row>
    <row r="130" spans="1:39" s="9" customFormat="1" ht="12.75">
      <c r="A130" s="14"/>
      <c r="B130" s="11"/>
      <c r="C130" s="80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</row>
    <row r="131" spans="1:39" s="9" customFormat="1" ht="12.75">
      <c r="A131" s="14"/>
      <c r="B131" s="11"/>
      <c r="C131" s="80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</row>
    <row r="132" spans="1:39" s="9" customFormat="1" ht="12.75">
      <c r="A132" s="14"/>
      <c r="B132" s="11"/>
      <c r="C132" s="80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</row>
    <row r="133" spans="1:39" s="9" customFormat="1" ht="12.75">
      <c r="A133" s="14"/>
      <c r="B133" s="11"/>
      <c r="C133" s="80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</row>
    <row r="134" spans="1:39" s="9" customFormat="1" ht="12.75">
      <c r="A134" s="14"/>
      <c r="B134" s="11"/>
      <c r="C134" s="80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</row>
    <row r="135" spans="1:39" s="9" customFormat="1" ht="12.75">
      <c r="A135" s="14"/>
      <c r="B135" s="11"/>
      <c r="C135" s="80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</row>
    <row r="136" spans="1:39" s="9" customFormat="1" ht="12.75">
      <c r="A136" s="14"/>
      <c r="B136" s="11"/>
      <c r="C136" s="80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</row>
    <row r="137" spans="1:39" s="9" customFormat="1" ht="12.75">
      <c r="A137" s="14"/>
      <c r="B137" s="11"/>
      <c r="C137" s="80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</row>
    <row r="138" spans="1:39" s="9" customFormat="1" ht="12.75">
      <c r="A138" s="14"/>
      <c r="B138" s="11"/>
      <c r="C138" s="80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</row>
    <row r="139" spans="1:39" s="9" customFormat="1" ht="12.75">
      <c r="A139" s="14"/>
      <c r="B139" s="11"/>
      <c r="C139" s="80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</row>
    <row r="140" spans="1:39" s="9" customFormat="1" ht="12.75">
      <c r="A140" s="14"/>
      <c r="B140" s="11"/>
      <c r="C140" s="80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</row>
    <row r="141" spans="1:39" s="9" customFormat="1" ht="12.75">
      <c r="A141" s="14"/>
      <c r="B141" s="11"/>
      <c r="C141" s="80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</row>
    <row r="142" spans="1:39" s="9" customFormat="1" ht="12.75">
      <c r="A142" s="14"/>
      <c r="B142" s="11"/>
      <c r="C142" s="80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</row>
    <row r="143" spans="1:39" s="9" customFormat="1" ht="12.75">
      <c r="A143" s="14"/>
      <c r="B143" s="11"/>
      <c r="C143" s="80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</row>
    <row r="144" spans="1:39" s="9" customFormat="1" ht="12.75">
      <c r="A144" s="14"/>
      <c r="B144" s="11"/>
      <c r="C144" s="80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</row>
    <row r="145" spans="1:39" s="9" customFormat="1" ht="12.75">
      <c r="A145" s="14"/>
      <c r="B145" s="11"/>
      <c r="C145" s="80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</row>
    <row r="146" spans="1:39" s="9" customFormat="1" ht="12.75">
      <c r="A146" s="14"/>
      <c r="B146" s="11"/>
      <c r="C146" s="80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</row>
    <row r="147" spans="1:39" s="9" customFormat="1" ht="12.75">
      <c r="A147" s="14"/>
      <c r="B147" s="11"/>
      <c r="C147" s="80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</row>
    <row r="148" spans="1:39" s="9" customFormat="1" ht="12.75">
      <c r="A148" s="14"/>
      <c r="B148" s="11"/>
      <c r="C148" s="80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</row>
    <row r="149" spans="1:39" s="9" customFormat="1" ht="12.75">
      <c r="A149" s="14"/>
      <c r="B149" s="11"/>
      <c r="C149" s="80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</row>
    <row r="150" spans="1:39" s="9" customFormat="1" ht="12.75">
      <c r="A150" s="14"/>
      <c r="B150" s="11"/>
      <c r="C150" s="80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</row>
    <row r="151" spans="1:39" s="9" customFormat="1" ht="12.75">
      <c r="A151" s="14"/>
      <c r="B151" s="11"/>
      <c r="C151" s="80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</row>
    <row r="152" spans="1:39" s="9" customFormat="1" ht="12.75">
      <c r="A152" s="14"/>
      <c r="B152" s="11"/>
      <c r="C152" s="80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</row>
    <row r="153" spans="1:39" s="9" customFormat="1" ht="12.75">
      <c r="A153" s="14"/>
      <c r="B153" s="11"/>
      <c r="C153" s="80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</row>
    <row r="154" spans="1:39" s="9" customFormat="1" ht="12.75">
      <c r="A154" s="14"/>
      <c r="B154" s="11"/>
      <c r="C154" s="80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</row>
    <row r="155" spans="1:39" s="9" customFormat="1" ht="12.75">
      <c r="A155" s="14"/>
      <c r="B155" s="11"/>
      <c r="C155" s="80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</row>
    <row r="156" spans="1:39" s="9" customFormat="1" ht="12.75">
      <c r="A156" s="14"/>
      <c r="B156" s="11"/>
      <c r="C156" s="80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</row>
    <row r="157" spans="1:39" s="9" customFormat="1" ht="12.75">
      <c r="A157" s="14"/>
      <c r="B157" s="11"/>
      <c r="C157" s="80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</row>
    <row r="158" spans="1:39" s="9" customFormat="1" ht="12.75">
      <c r="A158" s="14"/>
      <c r="B158" s="11"/>
      <c r="C158" s="80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</row>
    <row r="159" spans="1:39" s="9" customFormat="1" ht="12.75">
      <c r="A159" s="14"/>
      <c r="B159" s="11"/>
      <c r="C159" s="80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</row>
    <row r="160" spans="1:39" s="9" customFormat="1" ht="12.75">
      <c r="A160" s="14"/>
      <c r="B160" s="11"/>
      <c r="C160" s="80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</row>
    <row r="161" spans="1:39" s="9" customFormat="1" ht="12.75">
      <c r="A161" s="14"/>
      <c r="B161" s="11"/>
      <c r="C161" s="80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</row>
    <row r="162" spans="1:39" s="9" customFormat="1" ht="12.75">
      <c r="A162" s="14"/>
      <c r="B162" s="11"/>
      <c r="C162" s="80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</row>
    <row r="163" spans="1:39" s="9" customFormat="1" ht="12.75">
      <c r="A163" s="14"/>
      <c r="B163" s="11"/>
      <c r="C163" s="80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</row>
    <row r="164" spans="1:39" s="9" customFormat="1" ht="12.75">
      <c r="A164" s="14"/>
      <c r="B164" s="11"/>
      <c r="C164" s="80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</row>
    <row r="165" spans="1:39" s="9" customFormat="1" ht="12.75">
      <c r="A165" s="14"/>
      <c r="B165" s="11"/>
      <c r="C165" s="80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</row>
    <row r="166" spans="1:39" s="9" customFormat="1" ht="12.75">
      <c r="A166" s="14"/>
      <c r="B166" s="11"/>
      <c r="C166" s="80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</row>
    <row r="167" spans="1:39" s="9" customFormat="1" ht="12.75">
      <c r="A167" s="14"/>
      <c r="B167" s="11"/>
      <c r="C167" s="80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</row>
    <row r="168" spans="1:39" s="9" customFormat="1" ht="12.75">
      <c r="A168" s="14"/>
      <c r="B168" s="11"/>
      <c r="C168" s="80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</row>
    <row r="169" spans="1:39" s="9" customFormat="1" ht="12.75">
      <c r="A169" s="14"/>
      <c r="B169" s="11"/>
      <c r="C169" s="80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</row>
    <row r="170" spans="1:39" s="9" customFormat="1" ht="12.75">
      <c r="A170" s="14"/>
      <c r="B170" s="11"/>
      <c r="C170" s="80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</row>
    <row r="171" spans="1:39" s="9" customFormat="1" ht="12.75">
      <c r="A171" s="14"/>
      <c r="B171" s="11"/>
      <c r="C171" s="80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</row>
    <row r="172" spans="1:39" s="9" customFormat="1" ht="12.75">
      <c r="A172" s="14"/>
      <c r="B172" s="11"/>
      <c r="C172" s="80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</row>
    <row r="173" spans="1:39" s="9" customFormat="1" ht="12.75">
      <c r="A173" s="14"/>
      <c r="B173" s="11"/>
      <c r="C173" s="80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</row>
    <row r="174" spans="1:39" s="9" customFormat="1" ht="12.75">
      <c r="A174" s="14"/>
      <c r="B174" s="11"/>
      <c r="C174" s="80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</row>
    <row r="175" spans="1:39" s="9" customFormat="1" ht="12.75">
      <c r="A175" s="14"/>
      <c r="B175" s="11"/>
      <c r="C175" s="80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</row>
    <row r="176" spans="1:39" s="9" customFormat="1" ht="12.75">
      <c r="A176" s="14"/>
      <c r="B176" s="11"/>
      <c r="C176" s="80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</row>
    <row r="177" spans="1:39" s="9" customFormat="1" ht="12.75">
      <c r="A177" s="14"/>
      <c r="B177" s="11"/>
      <c r="C177" s="80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</row>
    <row r="178" spans="1:39" s="9" customFormat="1" ht="12.75">
      <c r="A178" s="14"/>
      <c r="B178" s="11"/>
      <c r="C178" s="80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</row>
    <row r="179" spans="1:39" s="9" customFormat="1" ht="12.75">
      <c r="A179" s="14"/>
      <c r="B179" s="11"/>
      <c r="C179" s="80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</row>
    <row r="180" spans="1:39" s="9" customFormat="1" ht="12.75">
      <c r="A180" s="14"/>
      <c r="B180" s="11"/>
      <c r="C180" s="80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</row>
    <row r="181" spans="1:39" s="9" customFormat="1" ht="12.75">
      <c r="A181" s="14"/>
      <c r="B181" s="11"/>
      <c r="C181" s="80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</row>
    <row r="182" spans="1:39" s="9" customFormat="1" ht="12.75">
      <c r="A182" s="14"/>
      <c r="B182" s="11"/>
      <c r="C182" s="80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</row>
    <row r="183" spans="1:39" s="9" customFormat="1" ht="12.75">
      <c r="A183" s="14"/>
      <c r="B183" s="11"/>
      <c r="C183" s="80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</row>
    <row r="184" spans="1:39" s="9" customFormat="1" ht="12.75">
      <c r="A184" s="14"/>
      <c r="B184" s="11"/>
      <c r="C184" s="80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</row>
    <row r="185" spans="1:39" s="9" customFormat="1" ht="12.75">
      <c r="A185" s="14"/>
      <c r="B185" s="11"/>
      <c r="C185" s="80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</row>
    <row r="186" spans="1:39" s="9" customFormat="1" ht="12.75">
      <c r="A186" s="14"/>
      <c r="B186" s="11"/>
      <c r="C186" s="80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</row>
    <row r="187" spans="1:39" s="9" customFormat="1" ht="12.75">
      <c r="A187" s="14"/>
      <c r="B187" s="11"/>
      <c r="C187" s="80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</row>
    <row r="188" spans="1:39" s="9" customFormat="1" ht="12.75">
      <c r="A188" s="14"/>
      <c r="B188" s="11"/>
      <c r="C188" s="80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</row>
    <row r="189" spans="1:39" s="9" customFormat="1" ht="12.75">
      <c r="A189" s="14"/>
      <c r="B189" s="11"/>
      <c r="C189" s="80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</row>
    <row r="190" spans="1:39" s="9" customFormat="1" ht="12.75">
      <c r="A190" s="14"/>
      <c r="B190" s="11"/>
      <c r="C190" s="80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</row>
    <row r="191" spans="1:39" s="9" customFormat="1" ht="12.75">
      <c r="A191" s="14"/>
      <c r="B191" s="11"/>
      <c r="C191" s="80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</row>
    <row r="192" spans="1:39" s="9" customFormat="1" ht="12.75">
      <c r="A192" s="14"/>
      <c r="B192" s="11"/>
      <c r="C192" s="80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</row>
    <row r="193" spans="1:39" s="9" customFormat="1" ht="12.75">
      <c r="A193" s="14"/>
      <c r="B193" s="11"/>
      <c r="C193" s="80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</row>
    <row r="194" spans="1:39" s="9" customFormat="1" ht="12.75">
      <c r="A194" s="14"/>
      <c r="B194" s="11"/>
      <c r="C194" s="80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</row>
    <row r="195" spans="1:39" s="9" customFormat="1" ht="12.75">
      <c r="A195" s="14"/>
      <c r="B195" s="11"/>
      <c r="C195" s="80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</row>
    <row r="196" spans="1:39" s="9" customFormat="1" ht="12.75">
      <c r="A196" s="14"/>
      <c r="B196" s="11"/>
      <c r="C196" s="80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</row>
    <row r="197" spans="1:39" s="9" customFormat="1" ht="12.75">
      <c r="A197" s="14"/>
      <c r="B197" s="11"/>
      <c r="C197" s="80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</row>
    <row r="198" spans="1:39" s="9" customFormat="1" ht="12.75">
      <c r="A198" s="14"/>
      <c r="B198" s="11"/>
      <c r="C198" s="80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</row>
    <row r="199" spans="1:39" s="9" customFormat="1" ht="12.75">
      <c r="A199" s="14"/>
      <c r="B199" s="11"/>
      <c r="C199" s="80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</row>
    <row r="200" spans="1:39" s="9" customFormat="1" ht="12.75">
      <c r="A200" s="14"/>
      <c r="B200" s="11"/>
      <c r="C200" s="80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</row>
    <row r="201" spans="1:39" s="9" customFormat="1" ht="12.75">
      <c r="A201" s="14"/>
      <c r="B201" s="11"/>
      <c r="C201" s="80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</row>
    <row r="202" spans="1:39" s="9" customFormat="1" ht="12.75">
      <c r="A202" s="14"/>
      <c r="B202" s="11"/>
      <c r="C202" s="80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</row>
    <row r="203" spans="1:39" s="9" customFormat="1" ht="12.75">
      <c r="A203" s="14"/>
      <c r="B203" s="11"/>
      <c r="C203" s="80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</row>
    <row r="204" spans="1:39" s="9" customFormat="1" ht="12.75">
      <c r="A204" s="14"/>
      <c r="B204" s="11"/>
      <c r="C204" s="80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</row>
    <row r="205" spans="1:39" s="9" customFormat="1" ht="12.75">
      <c r="A205" s="14"/>
      <c r="B205" s="11"/>
      <c r="C205" s="80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</row>
    <row r="206" spans="1:39" s="9" customFormat="1" ht="12.75">
      <c r="A206" s="14"/>
      <c r="B206" s="11"/>
      <c r="C206" s="80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</row>
    <row r="207" spans="1:39" s="9" customFormat="1" ht="12.75">
      <c r="A207" s="14"/>
      <c r="B207" s="11"/>
      <c r="C207" s="80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</row>
    <row r="208" spans="1:39" s="9" customFormat="1" ht="12.75">
      <c r="A208" s="14"/>
      <c r="B208" s="11"/>
      <c r="C208" s="80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</row>
    <row r="209" spans="1:39" s="9" customFormat="1" ht="12.75">
      <c r="A209" s="14"/>
      <c r="B209" s="11"/>
      <c r="C209" s="80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</row>
    <row r="210" spans="1:39" s="9" customFormat="1" ht="12.75">
      <c r="A210" s="14"/>
      <c r="B210" s="11"/>
      <c r="C210" s="80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</row>
    <row r="211" spans="1:39" s="9" customFormat="1" ht="12.75">
      <c r="A211" s="14"/>
      <c r="B211" s="11"/>
      <c r="C211" s="80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</row>
    <row r="212" spans="1:39" s="9" customFormat="1" ht="12.75">
      <c r="A212" s="14"/>
      <c r="B212" s="11"/>
      <c r="C212" s="80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</row>
    <row r="213" spans="1:39" s="9" customFormat="1" ht="12.75">
      <c r="A213" s="14"/>
      <c r="B213" s="11"/>
      <c r="C213" s="80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</row>
    <row r="214" spans="1:39" s="9" customFormat="1" ht="12.75">
      <c r="A214" s="14"/>
      <c r="B214" s="11"/>
      <c r="C214" s="80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</row>
    <row r="215" spans="1:39" s="9" customFormat="1" ht="12.75">
      <c r="A215" s="14"/>
      <c r="B215" s="11"/>
      <c r="C215" s="80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</row>
    <row r="216" spans="1:39" s="9" customFormat="1" ht="12.75">
      <c r="A216" s="14"/>
      <c r="B216" s="11"/>
      <c r="C216" s="80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</row>
    <row r="217" spans="1:39" s="9" customFormat="1" ht="12.75">
      <c r="A217" s="14"/>
      <c r="B217" s="11"/>
      <c r="C217" s="80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</row>
    <row r="218" spans="1:39" s="9" customFormat="1" ht="12.75">
      <c r="A218" s="14"/>
      <c r="B218" s="11"/>
      <c r="C218" s="80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</row>
    <row r="219" spans="1:39" s="9" customFormat="1" ht="12.75">
      <c r="A219" s="14"/>
      <c r="B219" s="11"/>
      <c r="C219" s="80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</row>
    <row r="220" spans="1:39" s="9" customFormat="1" ht="12.75">
      <c r="A220" s="14"/>
      <c r="B220" s="11"/>
      <c r="C220" s="80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</row>
    <row r="221" spans="1:39" s="9" customFormat="1" ht="12.75">
      <c r="A221" s="14"/>
      <c r="B221" s="11"/>
      <c r="C221" s="80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</row>
    <row r="222" spans="1:39" s="9" customFormat="1" ht="12.75">
      <c r="A222" s="14"/>
      <c r="B222" s="11"/>
      <c r="C222" s="80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</row>
    <row r="223" spans="1:39" s="9" customFormat="1" ht="12.75">
      <c r="A223" s="14"/>
      <c r="B223" s="11"/>
      <c r="C223" s="80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</row>
    <row r="224" spans="1:39" s="9" customFormat="1" ht="12.75">
      <c r="A224" s="14"/>
      <c r="B224" s="11"/>
      <c r="C224" s="80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</row>
    <row r="225" spans="1:39" s="9" customFormat="1" ht="12.75">
      <c r="A225" s="14"/>
      <c r="B225" s="11"/>
      <c r="C225" s="80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</row>
    <row r="226" spans="1:39" s="9" customFormat="1" ht="12.75">
      <c r="A226" s="14"/>
      <c r="B226" s="11"/>
      <c r="C226" s="80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</row>
    <row r="227" spans="1:39" s="9" customFormat="1" ht="12.75">
      <c r="A227" s="14"/>
      <c r="B227" s="11"/>
      <c r="C227" s="80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</row>
    <row r="228" spans="1:39" s="9" customFormat="1" ht="12.75">
      <c r="A228" s="14"/>
      <c r="B228" s="11"/>
      <c r="C228" s="80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</row>
    <row r="229" spans="1:39" s="9" customFormat="1" ht="12.75">
      <c r="A229" s="14"/>
      <c r="B229" s="11"/>
      <c r="C229" s="80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</row>
    <row r="230" spans="1:39" s="9" customFormat="1" ht="12.75">
      <c r="A230" s="14"/>
      <c r="B230" s="11"/>
      <c r="C230" s="80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</row>
    <row r="231" spans="1:39" s="9" customFormat="1" ht="12.75">
      <c r="A231" s="14"/>
      <c r="B231" s="11"/>
      <c r="C231" s="80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</row>
    <row r="232" spans="1:39" s="9" customFormat="1" ht="12.75">
      <c r="A232" s="14"/>
      <c r="B232" s="11"/>
      <c r="C232" s="80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</row>
    <row r="233" spans="1:39" s="9" customFormat="1" ht="12.75">
      <c r="A233" s="14"/>
      <c r="B233" s="11"/>
      <c r="C233" s="80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</row>
    <row r="234" spans="1:39" s="9" customFormat="1" ht="12.75">
      <c r="A234" s="14"/>
      <c r="B234" s="11"/>
      <c r="C234" s="80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</row>
    <row r="235" spans="1:39" s="9" customFormat="1" ht="12.75">
      <c r="A235" s="14"/>
      <c r="B235" s="11"/>
      <c r="C235" s="80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</row>
    <row r="236" spans="1:39" s="9" customFormat="1" ht="12.75">
      <c r="A236" s="14"/>
      <c r="B236" s="11"/>
      <c r="C236" s="80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</row>
    <row r="237" spans="1:39" s="9" customFormat="1" ht="12.75">
      <c r="A237" s="14"/>
      <c r="B237" s="11"/>
      <c r="C237" s="80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</row>
    <row r="238" spans="1:39" s="9" customFormat="1" ht="12.75">
      <c r="A238" s="14"/>
      <c r="B238" s="11"/>
      <c r="C238" s="80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</row>
    <row r="239" spans="1:39" s="9" customFormat="1" ht="12.75">
      <c r="A239" s="14"/>
      <c r="B239" s="11"/>
      <c r="C239" s="80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</row>
    <row r="240" spans="1:39" s="9" customFormat="1" ht="12.75">
      <c r="A240" s="14"/>
      <c r="B240" s="11"/>
      <c r="C240" s="80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</row>
    <row r="241" spans="1:39" s="9" customFormat="1" ht="12.75">
      <c r="A241" s="14"/>
      <c r="B241" s="11"/>
      <c r="C241" s="80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</row>
    <row r="242" spans="1:39" s="9" customFormat="1" ht="12.75">
      <c r="A242" s="14"/>
      <c r="B242" s="11"/>
      <c r="C242" s="80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</row>
    <row r="243" spans="1:39" s="9" customFormat="1" ht="12.75">
      <c r="A243" s="14"/>
      <c r="B243" s="11"/>
      <c r="C243" s="80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</row>
    <row r="244" spans="1:39" s="9" customFormat="1" ht="12.75">
      <c r="A244" s="14"/>
      <c r="B244" s="11"/>
      <c r="C244" s="80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</row>
    <row r="245" spans="1:39" s="9" customFormat="1" ht="12.75">
      <c r="A245" s="14"/>
      <c r="B245" s="11"/>
      <c r="C245" s="80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</row>
    <row r="246" spans="1:39" s="9" customFormat="1" ht="12.75">
      <c r="A246" s="14"/>
      <c r="B246" s="11"/>
      <c r="C246" s="80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</row>
    <row r="247" spans="1:39" s="9" customFormat="1" ht="12.75">
      <c r="A247" s="14"/>
      <c r="B247" s="11"/>
      <c r="C247" s="80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</row>
    <row r="248" spans="1:39" s="9" customFormat="1" ht="12.75">
      <c r="A248" s="14"/>
      <c r="B248" s="11"/>
      <c r="C248" s="80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</row>
    <row r="249" spans="1:39" s="9" customFormat="1" ht="12.75">
      <c r="A249" s="14"/>
      <c r="B249" s="11"/>
      <c r="C249" s="80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</row>
    <row r="250" spans="1:39" s="9" customFormat="1" ht="12.75">
      <c r="A250" s="14"/>
      <c r="B250" s="11"/>
      <c r="C250" s="80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</row>
    <row r="251" spans="1:39" s="9" customFormat="1" ht="12.75">
      <c r="A251" s="14"/>
      <c r="B251" s="11"/>
      <c r="C251" s="80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</row>
    <row r="252" spans="1:39" s="9" customFormat="1" ht="12.75">
      <c r="A252" s="14"/>
      <c r="B252" s="11"/>
      <c r="C252" s="80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</row>
    <row r="253" spans="1:39" s="9" customFormat="1" ht="12.75">
      <c r="A253" s="14"/>
      <c r="B253" s="11"/>
      <c r="C253" s="80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</row>
    <row r="254" spans="1:39" s="9" customFormat="1" ht="12.75">
      <c r="A254" s="14"/>
      <c r="B254" s="11"/>
      <c r="C254" s="80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</row>
    <row r="255" spans="1:39" s="9" customFormat="1" ht="12.75">
      <c r="A255" s="14"/>
      <c r="B255" s="11"/>
      <c r="C255" s="80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</row>
    <row r="256" spans="1:39" s="9" customFormat="1" ht="12.75">
      <c r="A256" s="14"/>
      <c r="B256" s="11"/>
      <c r="C256" s="80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</row>
    <row r="257" spans="1:39" s="9" customFormat="1" ht="12.75">
      <c r="A257" s="14"/>
      <c r="B257" s="11"/>
      <c r="C257" s="80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</row>
    <row r="258" spans="1:39" s="9" customFormat="1" ht="12.75">
      <c r="A258" s="14"/>
      <c r="B258" s="11"/>
      <c r="C258" s="80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</row>
    <row r="259" spans="1:39" s="9" customFormat="1" ht="12.75">
      <c r="A259" s="14"/>
      <c r="B259" s="11"/>
      <c r="C259" s="80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</row>
    <row r="260" spans="1:39" s="9" customFormat="1" ht="12.75">
      <c r="A260" s="14"/>
      <c r="B260" s="11"/>
      <c r="C260" s="80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</row>
    <row r="261" spans="1:39" s="9" customFormat="1" ht="12.75">
      <c r="A261" s="14"/>
      <c r="B261" s="11"/>
      <c r="C261" s="80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</row>
    <row r="262" spans="1:39" s="9" customFormat="1" ht="12.75">
      <c r="A262" s="14"/>
      <c r="B262" s="11"/>
      <c r="C262" s="80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</row>
    <row r="263" spans="1:39" s="9" customFormat="1" ht="12.75">
      <c r="A263" s="14"/>
      <c r="B263" s="11"/>
      <c r="C263" s="80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</row>
    <row r="264" spans="1:39" s="9" customFormat="1" ht="12.75">
      <c r="A264" s="14"/>
      <c r="B264" s="11"/>
      <c r="C264" s="80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</row>
    <row r="265" spans="1:39" s="9" customFormat="1" ht="12.75">
      <c r="A265" s="14"/>
      <c r="B265" s="11"/>
      <c r="C265" s="80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</row>
    <row r="266" spans="1:39" s="9" customFormat="1" ht="12.75">
      <c r="A266" s="14"/>
      <c r="B266" s="11"/>
      <c r="C266" s="80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</row>
    <row r="267" spans="1:39" s="9" customFormat="1" ht="12.75">
      <c r="A267" s="14"/>
      <c r="B267" s="11"/>
      <c r="C267" s="80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</row>
    <row r="268" spans="1:39" s="9" customFormat="1" ht="12.75">
      <c r="A268" s="14"/>
      <c r="B268" s="11"/>
      <c r="C268" s="80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</row>
    <row r="269" spans="1:39" s="9" customFormat="1" ht="12.75">
      <c r="A269" s="14"/>
      <c r="B269" s="11"/>
      <c r="C269" s="80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</row>
    <row r="270" spans="1:39" s="9" customFormat="1" ht="12.75">
      <c r="A270" s="14"/>
      <c r="B270" s="11"/>
      <c r="C270" s="80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</row>
    <row r="271" spans="1:39" s="9" customFormat="1" ht="12.75">
      <c r="A271" s="14"/>
      <c r="B271" s="11"/>
      <c r="C271" s="80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</row>
    <row r="272" spans="1:39" s="9" customFormat="1" ht="12.75">
      <c r="A272" s="14"/>
      <c r="B272" s="11"/>
      <c r="C272" s="80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</row>
    <row r="273" spans="1:39" s="9" customFormat="1" ht="12.75">
      <c r="A273" s="14"/>
      <c r="B273" s="11"/>
      <c r="C273" s="80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</row>
    <row r="274" spans="1:39" s="9" customFormat="1" ht="12.75">
      <c r="A274" s="14"/>
      <c r="B274" s="11"/>
      <c r="C274" s="80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</row>
    <row r="275" spans="1:39" s="9" customFormat="1" ht="12.75">
      <c r="A275" s="14"/>
      <c r="B275" s="11"/>
      <c r="C275" s="80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</row>
    <row r="276" spans="1:39" s="9" customFormat="1" ht="12.75">
      <c r="A276" s="14"/>
      <c r="B276" s="11"/>
      <c r="C276" s="80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</row>
    <row r="277" spans="1:39" s="9" customFormat="1" ht="12.75">
      <c r="A277" s="14"/>
      <c r="B277" s="11"/>
      <c r="C277" s="80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</row>
    <row r="278" spans="1:39" s="9" customFormat="1" ht="12.75">
      <c r="A278" s="14"/>
      <c r="B278" s="11"/>
      <c r="C278" s="80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</row>
    <row r="279" spans="1:39" s="9" customFormat="1" ht="12.75">
      <c r="A279" s="14"/>
      <c r="B279" s="11"/>
      <c r="C279" s="80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</row>
    <row r="280" spans="1:39" s="9" customFormat="1" ht="12.75">
      <c r="A280" s="14"/>
      <c r="B280" s="11"/>
      <c r="C280" s="80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</row>
    <row r="281" spans="1:39" s="9" customFormat="1" ht="12.75">
      <c r="A281" s="14"/>
      <c r="B281" s="11"/>
      <c r="C281" s="80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</row>
    <row r="282" spans="1:39" s="9" customFormat="1" ht="12.75">
      <c r="A282" s="14"/>
      <c r="B282" s="11"/>
      <c r="C282" s="80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</row>
    <row r="283" spans="1:39" s="9" customFormat="1" ht="12.75">
      <c r="A283" s="14"/>
      <c r="B283" s="11"/>
      <c r="C283" s="80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</row>
    <row r="284" spans="1:39" s="9" customFormat="1" ht="12.75">
      <c r="A284" s="14"/>
      <c r="B284" s="11"/>
      <c r="C284" s="80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</row>
    <row r="285" spans="1:39" s="9" customFormat="1" ht="12.75">
      <c r="A285" s="14"/>
      <c r="B285" s="11"/>
      <c r="C285" s="80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</row>
    <row r="286" spans="1:39" s="9" customFormat="1" ht="12.75">
      <c r="A286" s="14"/>
      <c r="B286" s="11"/>
      <c r="C286" s="80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</row>
    <row r="287" spans="1:39" s="9" customFormat="1" ht="12.75">
      <c r="A287" s="14"/>
      <c r="B287" s="11"/>
      <c r="C287" s="80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</row>
    <row r="288" spans="1:39" s="9" customFormat="1" ht="12.75">
      <c r="A288" s="14"/>
      <c r="B288" s="11"/>
      <c r="C288" s="80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</row>
    <row r="289" spans="1:39" s="9" customFormat="1" ht="12.75">
      <c r="A289" s="14"/>
      <c r="B289" s="11"/>
      <c r="C289" s="80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</row>
    <row r="290" spans="1:39" s="9" customFormat="1" ht="12.75">
      <c r="A290" s="14"/>
      <c r="B290" s="11"/>
      <c r="C290" s="80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</row>
    <row r="291" spans="1:39" s="9" customFormat="1" ht="12.75">
      <c r="A291" s="14"/>
      <c r="B291" s="11"/>
      <c r="C291" s="80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</row>
    <row r="292" spans="1:39" s="9" customFormat="1" ht="12.75">
      <c r="A292" s="14"/>
      <c r="B292" s="11"/>
      <c r="C292" s="80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</row>
    <row r="293" spans="1:39" s="9" customFormat="1" ht="12.75">
      <c r="A293" s="14"/>
      <c r="B293" s="11"/>
      <c r="C293" s="80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</row>
    <row r="294" spans="1:39" s="9" customFormat="1" ht="12.75">
      <c r="A294" s="14"/>
      <c r="B294" s="11"/>
      <c r="C294" s="80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</row>
    <row r="295" spans="1:39" s="9" customFormat="1" ht="12.75">
      <c r="A295" s="14"/>
      <c r="B295" s="11"/>
      <c r="C295" s="80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</row>
    <row r="296" spans="1:39" s="9" customFormat="1" ht="12.75">
      <c r="A296" s="14"/>
      <c r="B296" s="11"/>
      <c r="C296" s="80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</row>
    <row r="297" spans="1:39" s="9" customFormat="1" ht="12.75">
      <c r="A297" s="14"/>
      <c r="B297" s="11"/>
      <c r="C297" s="80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</row>
    <row r="298" spans="1:39" s="9" customFormat="1" ht="12.75">
      <c r="A298" s="14"/>
      <c r="B298" s="11"/>
      <c r="C298" s="80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</row>
    <row r="299" spans="1:39" s="9" customFormat="1" ht="12.75">
      <c r="A299" s="14"/>
      <c r="B299" s="11"/>
      <c r="C299" s="80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</row>
    <row r="300" spans="1:39" s="9" customFormat="1" ht="12.75">
      <c r="A300" s="14"/>
      <c r="B300" s="11"/>
      <c r="C300" s="80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</row>
    <row r="301" spans="1:39" s="9" customFormat="1" ht="12.75">
      <c r="A301" s="14"/>
      <c r="B301" s="11"/>
      <c r="C301" s="80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</row>
    <row r="302" spans="1:39" s="9" customFormat="1" ht="12.75">
      <c r="A302" s="14"/>
      <c r="B302" s="11"/>
      <c r="C302" s="80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</row>
    <row r="303" spans="1:39" s="9" customFormat="1" ht="12.75">
      <c r="A303" s="14"/>
      <c r="B303" s="11"/>
      <c r="C303" s="80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</row>
    <row r="304" spans="1:39" s="9" customFormat="1" ht="12.75">
      <c r="A304" s="14"/>
      <c r="B304" s="11"/>
      <c r="C304" s="80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</row>
    <row r="305" spans="1:39" s="9" customFormat="1" ht="12.75">
      <c r="A305" s="14"/>
      <c r="B305" s="11"/>
      <c r="C305" s="80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</row>
    <row r="306" spans="1:39" s="9" customFormat="1" ht="12.75">
      <c r="A306" s="14"/>
      <c r="B306" s="11"/>
      <c r="C306" s="80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</row>
    <row r="307" spans="1:39" s="9" customFormat="1" ht="12.75">
      <c r="A307" s="14"/>
      <c r="B307" s="11"/>
      <c r="C307" s="80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</row>
    <row r="308" spans="1:39" s="9" customFormat="1" ht="12.75">
      <c r="A308" s="14"/>
      <c r="B308" s="11"/>
      <c r="C308" s="80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</row>
    <row r="309" spans="1:39" s="9" customFormat="1" ht="12.75">
      <c r="A309" s="14"/>
      <c r="B309" s="11"/>
      <c r="C309" s="80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</row>
    <row r="310" spans="1:39" s="9" customFormat="1" ht="12.75">
      <c r="A310" s="14"/>
      <c r="B310" s="11"/>
      <c r="C310" s="80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</row>
    <row r="311" spans="1:39" s="9" customFormat="1" ht="12.75">
      <c r="A311" s="14"/>
      <c r="B311" s="11"/>
      <c r="C311" s="80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</row>
    <row r="312" spans="1:39" s="9" customFormat="1" ht="12.75">
      <c r="A312" s="14"/>
      <c r="B312" s="11"/>
      <c r="C312" s="80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</row>
    <row r="313" spans="1:39" s="9" customFormat="1" ht="12.75">
      <c r="A313" s="14"/>
      <c r="B313" s="11"/>
      <c r="C313" s="80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</row>
    <row r="314" spans="1:39" s="9" customFormat="1" ht="12.75">
      <c r="A314" s="14"/>
      <c r="B314" s="11"/>
      <c r="C314" s="80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</row>
    <row r="315" spans="1:39" s="9" customFormat="1" ht="12.75">
      <c r="A315" s="14"/>
      <c r="B315" s="11"/>
      <c r="C315" s="80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</row>
    <row r="316" spans="1:39" s="9" customFormat="1" ht="12.75">
      <c r="A316" s="14"/>
      <c r="B316" s="11"/>
      <c r="C316" s="80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</row>
    <row r="317" spans="1:39" s="9" customFormat="1" ht="12.75">
      <c r="A317" s="14"/>
      <c r="B317" s="11"/>
      <c r="C317" s="80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</row>
    <row r="318" spans="1:39" s="9" customFormat="1" ht="12.75">
      <c r="A318" s="14"/>
      <c r="B318" s="11"/>
      <c r="C318" s="80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</row>
    <row r="319" spans="1:39" s="9" customFormat="1" ht="12.75">
      <c r="A319" s="14"/>
      <c r="B319" s="11"/>
      <c r="C319" s="80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</row>
    <row r="320" spans="1:39" s="9" customFormat="1" ht="12.75">
      <c r="A320" s="14"/>
      <c r="B320" s="11"/>
      <c r="C320" s="80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</row>
    <row r="321" spans="1:39" s="9" customFormat="1" ht="12.75">
      <c r="A321" s="14"/>
      <c r="B321" s="11"/>
      <c r="C321" s="80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</row>
    <row r="322" spans="1:39" s="9" customFormat="1" ht="12.75">
      <c r="A322" s="14"/>
      <c r="B322" s="11"/>
      <c r="C322" s="80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</row>
    <row r="323" spans="1:39" s="9" customFormat="1" ht="12.75">
      <c r="A323" s="14"/>
      <c r="B323" s="11"/>
      <c r="C323" s="80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</row>
    <row r="324" spans="1:39" s="9" customFormat="1" ht="12.75">
      <c r="A324" s="14"/>
      <c r="B324" s="11"/>
      <c r="C324" s="80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</row>
    <row r="325" spans="1:39" s="9" customFormat="1" ht="12.75">
      <c r="A325" s="14"/>
      <c r="B325" s="11"/>
      <c r="C325" s="80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</row>
    <row r="326" spans="1:39" s="9" customFormat="1" ht="12.75">
      <c r="A326" s="14"/>
      <c r="B326" s="11"/>
      <c r="C326" s="80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</row>
    <row r="327" spans="1:39" s="9" customFormat="1" ht="12.75">
      <c r="A327" s="14"/>
      <c r="B327" s="11"/>
      <c r="C327" s="80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</row>
    <row r="328" spans="1:39" s="9" customFormat="1" ht="12.75">
      <c r="A328" s="14"/>
      <c r="B328" s="11"/>
      <c r="C328" s="80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</row>
    <row r="329" spans="1:39" s="9" customFormat="1" ht="12.75">
      <c r="A329" s="14"/>
      <c r="B329" s="11"/>
      <c r="C329" s="80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</row>
    <row r="330" spans="1:39" s="9" customFormat="1" ht="12.75">
      <c r="A330" s="14"/>
      <c r="B330" s="11"/>
      <c r="C330" s="80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</row>
    <row r="331" spans="1:39" s="9" customFormat="1" ht="12.75">
      <c r="A331" s="14"/>
      <c r="B331" s="11"/>
      <c r="C331" s="80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</row>
    <row r="332" spans="1:39" s="9" customFormat="1" ht="12.75">
      <c r="A332" s="14"/>
      <c r="B332" s="11"/>
      <c r="C332" s="80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</row>
    <row r="333" spans="1:39" s="9" customFormat="1" ht="12.75">
      <c r="A333" s="14"/>
      <c r="B333" s="11"/>
      <c r="C333" s="80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</row>
    <row r="334" spans="1:39" s="9" customFormat="1" ht="12.75">
      <c r="A334" s="14"/>
      <c r="B334" s="11"/>
      <c r="C334" s="80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</row>
    <row r="335" spans="1:39" s="9" customFormat="1" ht="12.75">
      <c r="A335" s="14"/>
      <c r="B335" s="11"/>
      <c r="C335" s="80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</row>
    <row r="336" spans="2:39" s="9" customFormat="1" ht="12.75">
      <c r="B336" s="11"/>
      <c r="C336" s="80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</row>
    <row r="337" spans="2:39" s="9" customFormat="1" ht="12.75">
      <c r="B337" s="11"/>
      <c r="C337" s="80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</row>
    <row r="338" spans="2:39" s="9" customFormat="1" ht="12.75">
      <c r="B338" s="11"/>
      <c r="C338" s="80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</row>
    <row r="339" spans="2:39" s="9" customFormat="1" ht="12.75">
      <c r="B339" s="11"/>
      <c r="C339" s="80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</row>
    <row r="340" spans="2:39" s="9" customFormat="1" ht="12.75">
      <c r="B340" s="11"/>
      <c r="C340" s="80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</row>
    <row r="341" spans="2:39" s="9" customFormat="1" ht="12.75">
      <c r="B341" s="11"/>
      <c r="C341" s="80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</row>
    <row r="342" spans="2:39" s="9" customFormat="1" ht="12.75">
      <c r="B342" s="11"/>
      <c r="C342" s="80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</row>
    <row r="343" spans="2:39" s="9" customFormat="1" ht="12.75">
      <c r="B343" s="11"/>
      <c r="C343" s="80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</row>
    <row r="344" spans="2:39" s="9" customFormat="1" ht="12.75">
      <c r="B344" s="11"/>
      <c r="C344" s="80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</row>
    <row r="345" spans="2:39" s="9" customFormat="1" ht="12.75">
      <c r="B345" s="11"/>
      <c r="C345" s="80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</row>
    <row r="346" spans="2:39" s="9" customFormat="1" ht="12.75">
      <c r="B346" s="11"/>
      <c r="C346" s="80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</row>
    <row r="347" spans="2:39" s="9" customFormat="1" ht="12.75">
      <c r="B347" s="11"/>
      <c r="C347" s="80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</row>
    <row r="348" spans="2:39" s="9" customFormat="1" ht="12.75">
      <c r="B348" s="11"/>
      <c r="C348" s="80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</row>
    <row r="349" spans="2:39" s="9" customFormat="1" ht="12.75">
      <c r="B349" s="11"/>
      <c r="C349" s="80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</row>
    <row r="350" spans="2:39" s="9" customFormat="1" ht="12.75">
      <c r="B350" s="11"/>
      <c r="C350" s="80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</row>
    <row r="351" spans="2:39" s="9" customFormat="1" ht="12.75">
      <c r="B351" s="11"/>
      <c r="C351" s="80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</row>
    <row r="352" spans="2:39" s="9" customFormat="1" ht="12.75">
      <c r="B352" s="11"/>
      <c r="C352" s="80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</row>
    <row r="353" spans="2:39" s="9" customFormat="1" ht="12.75">
      <c r="B353" s="11"/>
      <c r="C353" s="80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</row>
    <row r="354" spans="2:39" s="9" customFormat="1" ht="12.75">
      <c r="B354" s="11"/>
      <c r="C354" s="80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</row>
    <row r="355" spans="2:39" s="9" customFormat="1" ht="12.75">
      <c r="B355" s="11"/>
      <c r="C355" s="80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</row>
    <row r="356" spans="2:39" s="9" customFormat="1" ht="12.75">
      <c r="B356" s="11"/>
      <c r="C356" s="80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</row>
    <row r="357" spans="2:39" s="9" customFormat="1" ht="12.75">
      <c r="B357" s="11"/>
      <c r="C357" s="80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</row>
    <row r="358" spans="2:39" s="9" customFormat="1" ht="12.75">
      <c r="B358" s="11"/>
      <c r="C358" s="80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</row>
    <row r="359" spans="2:39" s="9" customFormat="1" ht="12.75">
      <c r="B359" s="11"/>
      <c r="C359" s="80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</row>
    <row r="360" spans="2:39" s="9" customFormat="1" ht="12.75">
      <c r="B360" s="11"/>
      <c r="C360" s="80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</row>
    <row r="361" spans="2:39" s="9" customFormat="1" ht="12.75">
      <c r="B361" s="11"/>
      <c r="C361" s="80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</row>
    <row r="362" spans="2:39" s="9" customFormat="1" ht="12.75">
      <c r="B362" s="11"/>
      <c r="C362" s="80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</row>
    <row r="363" spans="2:39" s="9" customFormat="1" ht="12.75">
      <c r="B363" s="11"/>
      <c r="C363" s="80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</row>
    <row r="364" spans="2:39" s="9" customFormat="1" ht="12.75">
      <c r="B364" s="11"/>
      <c r="C364" s="80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</row>
    <row r="365" spans="2:39" s="9" customFormat="1" ht="12.75">
      <c r="B365" s="11"/>
      <c r="C365" s="80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</row>
    <row r="366" spans="2:39" s="9" customFormat="1" ht="12.75">
      <c r="B366" s="11"/>
      <c r="C366" s="80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</row>
    <row r="367" spans="2:39" s="9" customFormat="1" ht="12.75">
      <c r="B367" s="11"/>
      <c r="C367" s="80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</row>
    <row r="368" spans="2:39" s="9" customFormat="1" ht="12.75">
      <c r="B368" s="11"/>
      <c r="C368" s="80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</row>
    <row r="369" spans="2:39" s="9" customFormat="1" ht="12.75">
      <c r="B369" s="11"/>
      <c r="C369" s="80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</row>
    <row r="370" spans="2:39" s="9" customFormat="1" ht="12.75">
      <c r="B370" s="11"/>
      <c r="C370" s="80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</row>
    <row r="371" spans="2:39" s="9" customFormat="1" ht="12.75">
      <c r="B371" s="11"/>
      <c r="C371" s="80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</row>
    <row r="372" spans="2:39" s="9" customFormat="1" ht="12.75">
      <c r="B372" s="11"/>
      <c r="C372" s="80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</row>
    <row r="373" spans="2:39" s="9" customFormat="1" ht="12.75">
      <c r="B373" s="11"/>
      <c r="C373" s="80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</row>
    <row r="374" spans="2:39" s="9" customFormat="1" ht="12.75">
      <c r="B374" s="11"/>
      <c r="C374" s="80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</row>
    <row r="375" spans="2:39" s="9" customFormat="1" ht="12.75">
      <c r="B375" s="11"/>
      <c r="C375" s="80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</row>
    <row r="376" spans="2:39" s="9" customFormat="1" ht="12.75">
      <c r="B376" s="11"/>
      <c r="C376" s="80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</row>
    <row r="377" spans="2:39" s="9" customFormat="1" ht="12.75">
      <c r="B377" s="11"/>
      <c r="C377" s="80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</row>
    <row r="378" spans="2:39" s="9" customFormat="1" ht="12.75">
      <c r="B378" s="11"/>
      <c r="C378" s="80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</row>
    <row r="379" spans="2:39" s="9" customFormat="1" ht="12.75">
      <c r="B379" s="11"/>
      <c r="C379" s="80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</row>
    <row r="380" spans="2:39" s="9" customFormat="1" ht="12.75">
      <c r="B380" s="11"/>
      <c r="C380" s="80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</row>
    <row r="381" spans="2:39" s="9" customFormat="1" ht="12.75">
      <c r="B381" s="11"/>
      <c r="C381" s="80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</row>
    <row r="382" spans="2:39" s="9" customFormat="1" ht="12.75">
      <c r="B382" s="11"/>
      <c r="C382" s="80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</row>
    <row r="383" spans="2:39" s="9" customFormat="1" ht="12.75">
      <c r="B383" s="11"/>
      <c r="C383" s="80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</row>
    <row r="384" spans="2:39" s="9" customFormat="1" ht="12.75">
      <c r="B384" s="11"/>
      <c r="C384" s="80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</row>
    <row r="385" spans="2:39" s="9" customFormat="1" ht="12.75">
      <c r="B385" s="11"/>
      <c r="C385" s="80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</row>
    <row r="386" spans="2:39" s="9" customFormat="1" ht="12.75">
      <c r="B386" s="11"/>
      <c r="C386" s="80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</row>
    <row r="387" spans="2:39" s="9" customFormat="1" ht="12.75">
      <c r="B387" s="11"/>
      <c r="C387" s="80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</row>
    <row r="388" spans="2:39" s="9" customFormat="1" ht="12.75">
      <c r="B388" s="11"/>
      <c r="C388" s="80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</row>
    <row r="389" spans="2:39" s="9" customFormat="1" ht="12.75">
      <c r="B389" s="11"/>
      <c r="C389" s="80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</row>
    <row r="390" spans="2:39" s="9" customFormat="1" ht="12.75">
      <c r="B390" s="11"/>
      <c r="C390" s="80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</row>
    <row r="391" spans="2:39" s="9" customFormat="1" ht="12.75">
      <c r="B391" s="11"/>
      <c r="C391" s="80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</row>
    <row r="392" spans="2:39" s="9" customFormat="1" ht="12.75">
      <c r="B392" s="11"/>
      <c r="C392" s="80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</row>
    <row r="393" spans="2:39" s="9" customFormat="1" ht="12.75">
      <c r="B393" s="11"/>
      <c r="C393" s="80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</row>
    <row r="394" spans="2:39" s="9" customFormat="1" ht="12.75">
      <c r="B394" s="11"/>
      <c r="C394" s="80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</row>
    <row r="395" spans="2:39" s="9" customFormat="1" ht="12.75">
      <c r="B395" s="11"/>
      <c r="C395" s="80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</row>
    <row r="396" spans="2:39" s="9" customFormat="1" ht="12.75">
      <c r="B396" s="11"/>
      <c r="C396" s="80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</row>
    <row r="397" spans="2:39" s="9" customFormat="1" ht="12.75">
      <c r="B397" s="11"/>
      <c r="C397" s="80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</row>
    <row r="398" spans="2:39" s="9" customFormat="1" ht="12.75">
      <c r="B398" s="11"/>
      <c r="C398" s="80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</row>
    <row r="399" spans="2:39" s="9" customFormat="1" ht="12.75">
      <c r="B399" s="11"/>
      <c r="C399" s="80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</row>
    <row r="400" spans="2:39" s="9" customFormat="1" ht="12.75">
      <c r="B400" s="11"/>
      <c r="C400" s="80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</row>
    <row r="401" spans="2:39" s="9" customFormat="1" ht="12.75">
      <c r="B401" s="11"/>
      <c r="C401" s="80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</row>
    <row r="402" spans="2:39" s="9" customFormat="1" ht="12.75">
      <c r="B402" s="11"/>
      <c r="C402" s="80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</row>
    <row r="403" spans="2:39" s="9" customFormat="1" ht="12.75">
      <c r="B403" s="11"/>
      <c r="C403" s="80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</row>
    <row r="404" spans="2:39" s="9" customFormat="1" ht="12.75">
      <c r="B404" s="11"/>
      <c r="C404" s="80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</row>
    <row r="405" spans="2:39" s="9" customFormat="1" ht="12.75">
      <c r="B405" s="11"/>
      <c r="C405" s="80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</row>
    <row r="406" spans="2:39" s="9" customFormat="1" ht="12.75">
      <c r="B406" s="11"/>
      <c r="C406" s="80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</row>
    <row r="407" spans="2:39" s="9" customFormat="1" ht="12.75">
      <c r="B407" s="11"/>
      <c r="C407" s="80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</row>
    <row r="408" spans="2:39" s="9" customFormat="1" ht="12.75">
      <c r="B408" s="11"/>
      <c r="C408" s="80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</row>
    <row r="409" spans="2:39" s="9" customFormat="1" ht="12.75">
      <c r="B409" s="11"/>
      <c r="C409" s="80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</row>
    <row r="410" spans="2:39" s="9" customFormat="1" ht="12.75">
      <c r="B410" s="11"/>
      <c r="C410" s="80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</row>
    <row r="411" spans="2:39" s="9" customFormat="1" ht="12.75">
      <c r="B411" s="11"/>
      <c r="C411" s="80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</row>
    <row r="412" spans="2:39" s="9" customFormat="1" ht="12.75">
      <c r="B412" s="11"/>
      <c r="C412" s="80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</row>
    <row r="413" spans="2:39" s="9" customFormat="1" ht="12.75">
      <c r="B413" s="11"/>
      <c r="C413" s="80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</row>
    <row r="414" spans="2:39" s="9" customFormat="1" ht="12.75">
      <c r="B414" s="11"/>
      <c r="C414" s="80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</row>
    <row r="415" spans="2:39" s="9" customFormat="1" ht="12.75">
      <c r="B415" s="11"/>
      <c r="C415" s="80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</row>
    <row r="416" spans="2:39" s="9" customFormat="1" ht="12.75">
      <c r="B416" s="11"/>
      <c r="C416" s="80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</row>
    <row r="417" spans="2:39" s="9" customFormat="1" ht="12.75">
      <c r="B417" s="11"/>
      <c r="C417" s="80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</row>
    <row r="418" spans="2:39" s="9" customFormat="1" ht="12.75">
      <c r="B418" s="11"/>
      <c r="C418" s="80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</row>
    <row r="419" spans="2:39" s="9" customFormat="1" ht="12.75">
      <c r="B419" s="11"/>
      <c r="C419" s="80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</row>
    <row r="420" spans="2:39" s="9" customFormat="1" ht="12.75">
      <c r="B420" s="11"/>
      <c r="C420" s="80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</row>
    <row r="421" spans="2:39" s="9" customFormat="1" ht="12.75">
      <c r="B421" s="11"/>
      <c r="C421" s="80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</row>
    <row r="422" spans="2:39" s="9" customFormat="1" ht="12.75">
      <c r="B422" s="11"/>
      <c r="C422" s="80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</row>
    <row r="423" spans="2:39" s="9" customFormat="1" ht="12.75">
      <c r="B423" s="11"/>
      <c r="C423" s="80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</row>
    <row r="424" spans="2:39" s="9" customFormat="1" ht="12.75">
      <c r="B424" s="11"/>
      <c r="C424" s="80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</row>
    <row r="425" spans="2:39" s="9" customFormat="1" ht="12.75">
      <c r="B425" s="11"/>
      <c r="C425" s="80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</row>
    <row r="426" spans="2:39" s="9" customFormat="1" ht="12.75">
      <c r="B426" s="11"/>
      <c r="C426" s="80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</row>
    <row r="427" spans="2:39" s="9" customFormat="1" ht="12.75">
      <c r="B427" s="11"/>
      <c r="C427" s="80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</row>
    <row r="428" spans="2:39" s="9" customFormat="1" ht="12.75">
      <c r="B428" s="11"/>
      <c r="C428" s="80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</row>
    <row r="429" spans="2:39" s="9" customFormat="1" ht="12.75">
      <c r="B429" s="11"/>
      <c r="C429" s="80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</row>
    <row r="430" spans="2:39" s="9" customFormat="1" ht="12.75">
      <c r="B430" s="11"/>
      <c r="C430" s="80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</row>
    <row r="431" spans="2:39" s="9" customFormat="1" ht="12.75">
      <c r="B431" s="11"/>
      <c r="C431" s="80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</row>
    <row r="432" spans="2:39" s="9" customFormat="1" ht="12.75">
      <c r="B432" s="11"/>
      <c r="C432" s="80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</row>
    <row r="433" spans="2:39" s="9" customFormat="1" ht="12.75">
      <c r="B433" s="11"/>
      <c r="C433" s="80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</row>
    <row r="434" spans="2:39" s="9" customFormat="1" ht="12.75">
      <c r="B434" s="11"/>
      <c r="C434" s="80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</row>
    <row r="435" spans="2:39" s="9" customFormat="1" ht="12.75">
      <c r="B435" s="11"/>
      <c r="C435" s="80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</row>
    <row r="436" spans="2:39" s="9" customFormat="1" ht="12.75">
      <c r="B436" s="11"/>
      <c r="C436" s="80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</row>
    <row r="437" spans="2:39" s="9" customFormat="1" ht="12.75">
      <c r="B437" s="11"/>
      <c r="C437" s="80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</row>
    <row r="438" spans="2:39" s="9" customFormat="1" ht="12.75">
      <c r="B438" s="11"/>
      <c r="C438" s="80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</row>
    <row r="439" spans="2:39" s="9" customFormat="1" ht="12.75">
      <c r="B439" s="11"/>
      <c r="C439" s="80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</row>
    <row r="440" spans="2:39" s="9" customFormat="1" ht="12.75">
      <c r="B440" s="11"/>
      <c r="C440" s="80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</row>
    <row r="441" spans="2:39" s="9" customFormat="1" ht="12.75">
      <c r="B441" s="11"/>
      <c r="C441" s="80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</row>
    <row r="442" spans="2:39" s="9" customFormat="1" ht="12.75">
      <c r="B442" s="11"/>
      <c r="C442" s="80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</row>
    <row r="443" spans="2:39" s="9" customFormat="1" ht="12.75">
      <c r="B443" s="11"/>
      <c r="C443" s="80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</row>
    <row r="444" spans="2:39" s="9" customFormat="1" ht="12.75">
      <c r="B444" s="11"/>
      <c r="C444" s="80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</row>
    <row r="445" spans="2:39" s="9" customFormat="1" ht="12.75">
      <c r="B445" s="11"/>
      <c r="C445" s="80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</row>
    <row r="446" spans="2:39" s="9" customFormat="1" ht="12.75">
      <c r="B446" s="11"/>
      <c r="C446" s="80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</row>
    <row r="447" spans="2:39" s="9" customFormat="1" ht="12.75">
      <c r="B447" s="11"/>
      <c r="C447" s="80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</row>
    <row r="448" spans="2:39" s="9" customFormat="1" ht="12.75">
      <c r="B448" s="11"/>
      <c r="C448" s="80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</row>
    <row r="449" spans="2:39" s="9" customFormat="1" ht="12.75">
      <c r="B449" s="11"/>
      <c r="C449" s="80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</row>
    <row r="450" spans="2:39" s="9" customFormat="1" ht="12.75">
      <c r="B450" s="11"/>
      <c r="C450" s="80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</row>
    <row r="451" spans="2:39" s="9" customFormat="1" ht="12.75">
      <c r="B451" s="11"/>
      <c r="C451" s="80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</row>
    <row r="452" spans="2:39" s="9" customFormat="1" ht="12.75">
      <c r="B452" s="11"/>
      <c r="C452" s="80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</row>
    <row r="453" spans="2:39" s="9" customFormat="1" ht="12.75">
      <c r="B453" s="11"/>
      <c r="C453" s="80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</row>
    <row r="454" spans="2:39" s="9" customFormat="1" ht="12.75">
      <c r="B454" s="11"/>
      <c r="C454" s="80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</row>
    <row r="455" spans="2:39" s="9" customFormat="1" ht="12.75">
      <c r="B455" s="11"/>
      <c r="C455" s="80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</row>
    <row r="456" spans="2:39" s="9" customFormat="1" ht="12.75">
      <c r="B456" s="11"/>
      <c r="C456" s="80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</row>
    <row r="457" spans="2:39" s="9" customFormat="1" ht="12.75">
      <c r="B457" s="11"/>
      <c r="C457" s="80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</row>
    <row r="458" spans="2:39" s="9" customFormat="1" ht="12.75">
      <c r="B458" s="11"/>
      <c r="C458" s="80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</row>
    <row r="459" spans="2:39" s="9" customFormat="1" ht="12.75">
      <c r="B459" s="11"/>
      <c r="C459" s="80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</row>
    <row r="460" spans="2:39" s="9" customFormat="1" ht="12.75">
      <c r="B460" s="11"/>
      <c r="C460" s="80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</row>
    <row r="461" spans="2:39" s="9" customFormat="1" ht="12.75">
      <c r="B461" s="11"/>
      <c r="C461" s="80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</row>
    <row r="462" spans="2:39" s="9" customFormat="1" ht="12.75">
      <c r="B462" s="11"/>
      <c r="C462" s="80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</row>
    <row r="463" spans="2:39" s="9" customFormat="1" ht="12.75">
      <c r="B463" s="11"/>
      <c r="C463" s="80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</row>
    <row r="464" spans="2:39" s="9" customFormat="1" ht="12.75">
      <c r="B464" s="11"/>
      <c r="C464" s="80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</row>
    <row r="465" spans="2:39" s="9" customFormat="1" ht="12.75">
      <c r="B465" s="11"/>
      <c r="C465" s="80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</row>
    <row r="466" spans="2:39" s="9" customFormat="1" ht="12.75">
      <c r="B466" s="11"/>
      <c r="C466" s="80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</row>
    <row r="467" spans="2:39" s="9" customFormat="1" ht="12.75">
      <c r="B467" s="11"/>
      <c r="C467" s="80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</row>
    <row r="468" spans="2:39" s="9" customFormat="1" ht="12.75">
      <c r="B468" s="11"/>
      <c r="C468" s="80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</row>
    <row r="469" spans="2:39" s="9" customFormat="1" ht="12.75">
      <c r="B469" s="11"/>
      <c r="C469" s="80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</row>
    <row r="470" spans="2:39" s="9" customFormat="1" ht="12.75">
      <c r="B470" s="11"/>
      <c r="C470" s="80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</row>
    <row r="471" spans="2:39" s="9" customFormat="1" ht="12.75">
      <c r="B471" s="11"/>
      <c r="C471" s="80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</row>
    <row r="472" spans="2:39" s="9" customFormat="1" ht="12.75">
      <c r="B472" s="11"/>
      <c r="C472" s="80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</row>
    <row r="473" spans="2:39" s="9" customFormat="1" ht="12.75">
      <c r="B473" s="11"/>
      <c r="C473" s="80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</row>
    <row r="474" spans="2:39" s="9" customFormat="1" ht="12.75">
      <c r="B474" s="11"/>
      <c r="C474" s="80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</row>
    <row r="475" spans="2:39" s="9" customFormat="1" ht="12.75">
      <c r="B475" s="11"/>
      <c r="C475" s="80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</row>
    <row r="476" spans="2:39" s="9" customFormat="1" ht="12.75">
      <c r="B476" s="11"/>
      <c r="C476" s="80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</row>
    <row r="477" spans="2:39" s="9" customFormat="1" ht="12.75">
      <c r="B477" s="11"/>
      <c r="C477" s="80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</row>
    <row r="478" spans="2:39" s="9" customFormat="1" ht="12.75">
      <c r="B478" s="11"/>
      <c r="C478" s="80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</row>
    <row r="479" spans="2:39" s="9" customFormat="1" ht="12.75">
      <c r="B479" s="11"/>
      <c r="C479" s="80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</row>
    <row r="480" spans="2:39" s="9" customFormat="1" ht="12.75">
      <c r="B480" s="11"/>
      <c r="C480" s="80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</row>
    <row r="481" spans="2:39" s="9" customFormat="1" ht="12.75">
      <c r="B481" s="11"/>
      <c r="C481" s="80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</row>
    <row r="482" spans="2:39" s="9" customFormat="1" ht="12.75">
      <c r="B482" s="11"/>
      <c r="C482" s="80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</row>
    <row r="483" spans="2:39" s="9" customFormat="1" ht="12.75">
      <c r="B483" s="11"/>
      <c r="C483" s="80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</row>
    <row r="484" spans="2:39" s="9" customFormat="1" ht="12.75">
      <c r="B484" s="11"/>
      <c r="C484" s="80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</row>
    <row r="485" spans="2:39" s="9" customFormat="1" ht="12.75">
      <c r="B485" s="11"/>
      <c r="C485" s="80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</row>
    <row r="486" spans="2:39" s="9" customFormat="1" ht="12.75">
      <c r="B486" s="11"/>
      <c r="C486" s="80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</row>
    <row r="487" spans="2:39" s="9" customFormat="1" ht="12.75">
      <c r="B487" s="11"/>
      <c r="C487" s="80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</row>
    <row r="488" spans="2:39" s="9" customFormat="1" ht="12.75">
      <c r="B488" s="11"/>
      <c r="C488" s="80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</row>
    <row r="489" spans="2:39" s="9" customFormat="1" ht="12.75">
      <c r="B489" s="11"/>
      <c r="C489" s="80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</row>
    <row r="490" spans="2:39" s="9" customFormat="1" ht="12.75">
      <c r="B490" s="11"/>
      <c r="C490" s="80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</row>
    <row r="491" spans="2:39" s="9" customFormat="1" ht="12.75">
      <c r="B491" s="11"/>
      <c r="C491" s="80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</row>
    <row r="492" spans="2:39" s="9" customFormat="1" ht="12.75">
      <c r="B492" s="11"/>
      <c r="C492" s="80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</row>
    <row r="493" spans="2:39" s="9" customFormat="1" ht="12.75">
      <c r="B493" s="11"/>
      <c r="C493" s="80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</row>
    <row r="494" spans="2:39" s="9" customFormat="1" ht="12.75">
      <c r="B494" s="11"/>
      <c r="C494" s="80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</row>
    <row r="495" spans="2:39" s="9" customFormat="1" ht="12.75">
      <c r="B495" s="11"/>
      <c r="C495" s="80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</row>
    <row r="496" spans="2:39" s="9" customFormat="1" ht="12.75">
      <c r="B496" s="11"/>
      <c r="C496" s="80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</row>
    <row r="497" spans="2:39" s="9" customFormat="1" ht="12.75">
      <c r="B497" s="11"/>
      <c r="C497" s="80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</row>
    <row r="498" spans="2:39" s="9" customFormat="1" ht="12.75">
      <c r="B498" s="11"/>
      <c r="C498" s="80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</row>
    <row r="499" spans="2:39" s="9" customFormat="1" ht="12.75">
      <c r="B499" s="11"/>
      <c r="C499" s="80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</row>
    <row r="500" spans="2:39" s="9" customFormat="1" ht="12.75">
      <c r="B500" s="11"/>
      <c r="C500" s="80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</row>
    <row r="501" spans="2:39" s="9" customFormat="1" ht="12.75">
      <c r="B501" s="11"/>
      <c r="C501" s="80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</row>
    <row r="502" spans="2:39" s="9" customFormat="1" ht="12.75">
      <c r="B502" s="11"/>
      <c r="C502" s="80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</row>
    <row r="503" spans="2:39" s="9" customFormat="1" ht="12.75">
      <c r="B503" s="11"/>
      <c r="C503" s="80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</row>
    <row r="504" spans="2:39" s="9" customFormat="1" ht="12.75">
      <c r="B504" s="11"/>
      <c r="C504" s="80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</row>
    <row r="505" spans="2:39" s="9" customFormat="1" ht="12.75">
      <c r="B505" s="11"/>
      <c r="C505" s="80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</row>
    <row r="506" spans="2:39" s="9" customFormat="1" ht="12.75">
      <c r="B506" s="11"/>
      <c r="C506" s="80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</row>
    <row r="507" spans="2:39" s="9" customFormat="1" ht="12.75">
      <c r="B507" s="11"/>
      <c r="C507" s="80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</row>
    <row r="508" spans="2:39" s="9" customFormat="1" ht="12.75">
      <c r="B508" s="11"/>
      <c r="C508" s="80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</row>
    <row r="509" spans="2:39" s="9" customFormat="1" ht="12.75">
      <c r="B509" s="11"/>
      <c r="C509" s="80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</row>
  </sheetData>
  <mergeCells count="4">
    <mergeCell ref="C5:O5"/>
    <mergeCell ref="A7:A26"/>
    <mergeCell ref="C32:O32"/>
    <mergeCell ref="A34:A53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AM503"/>
  <sheetViews>
    <sheetView workbookViewId="0" topLeftCell="A1">
      <selection activeCell="A1" sqref="A1"/>
    </sheetView>
  </sheetViews>
  <sheetFormatPr defaultColWidth="9.140625" defaultRowHeight="12.75"/>
  <cols>
    <col min="1" max="1" width="3.8515625" style="4" bestFit="1" customWidth="1"/>
    <col min="2" max="2" width="12.8515625" style="23" bestFit="1" customWidth="1"/>
    <col min="3" max="3" width="6.28125" style="7" customWidth="1"/>
    <col min="4" max="15" width="6.28125" style="4" customWidth="1"/>
    <col min="16" max="16" width="5.8515625" style="4" bestFit="1" customWidth="1"/>
    <col min="17" max="17" width="5.140625" style="4" bestFit="1" customWidth="1"/>
    <col min="18" max="18" width="5.7109375" style="4" bestFit="1" customWidth="1"/>
    <col min="19" max="20" width="6.00390625" style="4" bestFit="1" customWidth="1"/>
    <col min="21" max="21" width="7.28125" style="4" bestFit="1" customWidth="1"/>
    <col min="22" max="22" width="5.7109375" style="4" bestFit="1" customWidth="1"/>
    <col min="23" max="39" width="9.140625" style="2" customWidth="1"/>
    <col min="40" max="16384" width="9.140625" style="4" customWidth="1"/>
  </cols>
  <sheetData>
    <row r="1" spans="1:16" ht="18.75">
      <c r="A1" s="6" t="s">
        <v>1</v>
      </c>
      <c r="P1" s="6"/>
    </row>
    <row r="2" spans="1:16" ht="12.75">
      <c r="A2" s="5" t="s">
        <v>148</v>
      </c>
      <c r="P2" s="8"/>
    </row>
    <row r="3" spans="1:2" ht="9.75" customHeight="1">
      <c r="A3" s="13" t="s">
        <v>217</v>
      </c>
      <c r="B3" s="10"/>
    </row>
    <row r="4" spans="1:2" ht="9.75" customHeight="1" thickBot="1">
      <c r="A4" s="13"/>
      <c r="B4" s="10"/>
    </row>
    <row r="5" spans="2:15" ht="15" customHeight="1" thickBot="1">
      <c r="B5" s="10"/>
      <c r="C5" s="185">
        <v>2007</v>
      </c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7"/>
    </row>
    <row r="6" spans="2:15" ht="48" thickBot="1">
      <c r="B6" s="10"/>
      <c r="C6" s="51" t="s">
        <v>77</v>
      </c>
      <c r="D6" s="53" t="s">
        <v>78</v>
      </c>
      <c r="E6" s="53" t="s">
        <v>79</v>
      </c>
      <c r="F6" s="53" t="s">
        <v>80</v>
      </c>
      <c r="G6" s="53" t="s">
        <v>81</v>
      </c>
      <c r="H6" s="53" t="s">
        <v>82</v>
      </c>
      <c r="I6" s="53" t="s">
        <v>83</v>
      </c>
      <c r="J6" s="53" t="s">
        <v>84</v>
      </c>
      <c r="K6" s="53" t="s">
        <v>85</v>
      </c>
      <c r="L6" s="53" t="s">
        <v>86</v>
      </c>
      <c r="M6" s="53" t="s">
        <v>87</v>
      </c>
      <c r="N6" s="52" t="s">
        <v>88</v>
      </c>
      <c r="O6" s="73" t="s">
        <v>89</v>
      </c>
    </row>
    <row r="7" spans="1:22" ht="15.75">
      <c r="A7" s="195" t="s">
        <v>215</v>
      </c>
      <c r="B7" s="153" t="s">
        <v>185</v>
      </c>
      <c r="C7" s="39">
        <v>76</v>
      </c>
      <c r="D7" s="40">
        <v>31</v>
      </c>
      <c r="E7" s="40">
        <v>62</v>
      </c>
      <c r="F7" s="40">
        <v>87</v>
      </c>
      <c r="G7" s="40">
        <v>2562</v>
      </c>
      <c r="H7" s="40">
        <v>2626</v>
      </c>
      <c r="I7" s="40">
        <v>5491</v>
      </c>
      <c r="J7" s="40">
        <v>7804</v>
      </c>
      <c r="K7" s="40">
        <v>5376</v>
      </c>
      <c r="L7" s="40">
        <v>4348</v>
      </c>
      <c r="M7" s="40">
        <v>451</v>
      </c>
      <c r="N7" s="56">
        <v>75</v>
      </c>
      <c r="O7" s="90">
        <f>SUM(C7:N7)</f>
        <v>28989</v>
      </c>
      <c r="P7" s="75"/>
      <c r="Q7" s="75"/>
      <c r="R7" s="75"/>
      <c r="S7" s="75"/>
      <c r="T7" s="75"/>
      <c r="U7" s="75"/>
      <c r="V7" s="75"/>
    </row>
    <row r="8" spans="1:22" ht="15.75">
      <c r="A8" s="196"/>
      <c r="B8" s="154" t="s">
        <v>186</v>
      </c>
      <c r="C8" s="43">
        <v>23</v>
      </c>
      <c r="D8" s="44">
        <v>8</v>
      </c>
      <c r="E8" s="44">
        <v>22</v>
      </c>
      <c r="F8" s="44">
        <v>124</v>
      </c>
      <c r="G8" s="44">
        <v>2698</v>
      </c>
      <c r="H8" s="44">
        <v>3890</v>
      </c>
      <c r="I8" s="44">
        <v>5742</v>
      </c>
      <c r="J8" s="44">
        <v>5433</v>
      </c>
      <c r="K8" s="44">
        <v>5816</v>
      </c>
      <c r="L8" s="44">
        <v>4242</v>
      </c>
      <c r="M8" s="44">
        <v>2188</v>
      </c>
      <c r="N8" s="65">
        <v>254</v>
      </c>
      <c r="O8" s="91">
        <f>SUM(C8:N8)</f>
        <v>30440</v>
      </c>
      <c r="P8" s="75"/>
      <c r="Q8" s="75"/>
      <c r="R8" s="75"/>
      <c r="S8" s="75"/>
      <c r="T8" s="75"/>
      <c r="U8" s="75"/>
      <c r="V8" s="75"/>
    </row>
    <row r="9" spans="1:22" ht="15.75">
      <c r="A9" s="196"/>
      <c r="B9" s="155" t="s">
        <v>188</v>
      </c>
      <c r="C9" s="43">
        <v>13</v>
      </c>
      <c r="D9" s="44">
        <v>21</v>
      </c>
      <c r="E9" s="44">
        <v>111</v>
      </c>
      <c r="F9" s="44">
        <v>203</v>
      </c>
      <c r="G9" s="44">
        <v>2764</v>
      </c>
      <c r="H9" s="44">
        <v>3888</v>
      </c>
      <c r="I9" s="44">
        <v>4005</v>
      </c>
      <c r="J9" s="44">
        <v>2934</v>
      </c>
      <c r="K9" s="44">
        <v>2442</v>
      </c>
      <c r="L9" s="44">
        <v>1868</v>
      </c>
      <c r="M9" s="44">
        <v>1420</v>
      </c>
      <c r="N9" s="65">
        <v>95</v>
      </c>
      <c r="O9" s="91">
        <f aca="true" t="shared" si="0" ref="O9:O18">SUM(C9:N9)</f>
        <v>19764</v>
      </c>
      <c r="P9" s="75"/>
      <c r="Q9" s="75"/>
      <c r="R9" s="75"/>
      <c r="S9" s="75"/>
      <c r="T9" s="75"/>
      <c r="U9" s="75"/>
      <c r="V9" s="75"/>
    </row>
    <row r="10" spans="1:22" ht="15.75">
      <c r="A10" s="196"/>
      <c r="B10" s="154" t="s">
        <v>187</v>
      </c>
      <c r="C10" s="43">
        <v>28</v>
      </c>
      <c r="D10" s="44">
        <v>40</v>
      </c>
      <c r="E10" s="44">
        <v>48</v>
      </c>
      <c r="F10" s="44">
        <v>82</v>
      </c>
      <c r="G10" s="44">
        <v>641</v>
      </c>
      <c r="H10" s="44">
        <v>1075</v>
      </c>
      <c r="I10" s="44">
        <v>1076</v>
      </c>
      <c r="J10" s="44">
        <v>1195</v>
      </c>
      <c r="K10" s="44">
        <v>822</v>
      </c>
      <c r="L10" s="44">
        <v>902</v>
      </c>
      <c r="M10" s="44">
        <v>428</v>
      </c>
      <c r="N10" s="65">
        <v>235</v>
      </c>
      <c r="O10" s="91">
        <f t="shared" si="0"/>
        <v>6572</v>
      </c>
      <c r="P10" s="75"/>
      <c r="Q10" s="75"/>
      <c r="R10" s="75"/>
      <c r="S10" s="75"/>
      <c r="T10" s="75"/>
      <c r="U10" s="75"/>
      <c r="V10" s="75"/>
    </row>
    <row r="11" spans="1:22" ht="15.75">
      <c r="A11" s="196"/>
      <c r="B11" s="160" t="s">
        <v>189</v>
      </c>
      <c r="C11" s="43">
        <v>38</v>
      </c>
      <c r="D11" s="44">
        <v>26</v>
      </c>
      <c r="E11" s="44">
        <v>32</v>
      </c>
      <c r="F11" s="44">
        <v>35</v>
      </c>
      <c r="G11" s="44">
        <v>562</v>
      </c>
      <c r="H11" s="44">
        <v>675</v>
      </c>
      <c r="I11" s="44">
        <v>735</v>
      </c>
      <c r="J11" s="44">
        <v>1211</v>
      </c>
      <c r="K11" s="44">
        <v>973</v>
      </c>
      <c r="L11" s="44">
        <v>810</v>
      </c>
      <c r="M11" s="44">
        <v>265</v>
      </c>
      <c r="N11" s="65">
        <v>47</v>
      </c>
      <c r="O11" s="91">
        <f t="shared" si="0"/>
        <v>5409</v>
      </c>
      <c r="P11" s="75"/>
      <c r="Q11" s="75"/>
      <c r="R11" s="75"/>
      <c r="S11" s="75"/>
      <c r="T11" s="75"/>
      <c r="U11" s="75"/>
      <c r="V11" s="75"/>
    </row>
    <row r="12" spans="1:22" ht="15.75">
      <c r="A12" s="196"/>
      <c r="B12" s="160" t="s">
        <v>191</v>
      </c>
      <c r="C12" s="43">
        <v>4</v>
      </c>
      <c r="D12" s="44">
        <v>1</v>
      </c>
      <c r="E12" s="44">
        <v>3</v>
      </c>
      <c r="F12" s="44">
        <v>2</v>
      </c>
      <c r="G12" s="44">
        <v>857</v>
      </c>
      <c r="H12" s="44">
        <v>1178</v>
      </c>
      <c r="I12" s="44">
        <v>1797</v>
      </c>
      <c r="J12" s="44">
        <v>894</v>
      </c>
      <c r="K12" s="44">
        <v>696</v>
      </c>
      <c r="L12" s="44">
        <v>529</v>
      </c>
      <c r="M12" s="44">
        <v>225</v>
      </c>
      <c r="N12" s="65">
        <v>70</v>
      </c>
      <c r="O12" s="91">
        <f t="shared" si="0"/>
        <v>6256</v>
      </c>
      <c r="P12" s="75"/>
      <c r="Q12" s="75"/>
      <c r="R12" s="75"/>
      <c r="S12" s="75"/>
      <c r="T12" s="75"/>
      <c r="U12" s="75"/>
      <c r="V12" s="75"/>
    </row>
    <row r="13" spans="1:22" ht="15.75">
      <c r="A13" s="196"/>
      <c r="B13" s="154" t="s">
        <v>190</v>
      </c>
      <c r="C13" s="43">
        <v>0</v>
      </c>
      <c r="D13" s="44">
        <v>0</v>
      </c>
      <c r="E13" s="44">
        <v>0</v>
      </c>
      <c r="F13" s="44">
        <v>31</v>
      </c>
      <c r="G13" s="44">
        <v>303</v>
      </c>
      <c r="H13" s="44">
        <v>150</v>
      </c>
      <c r="I13" s="44">
        <v>357</v>
      </c>
      <c r="J13" s="44">
        <v>415</v>
      </c>
      <c r="K13" s="44">
        <v>373</v>
      </c>
      <c r="L13" s="44">
        <v>161</v>
      </c>
      <c r="M13" s="44">
        <v>73</v>
      </c>
      <c r="N13" s="65">
        <v>0</v>
      </c>
      <c r="O13" s="91">
        <f t="shared" si="0"/>
        <v>1863</v>
      </c>
      <c r="P13" s="75"/>
      <c r="Q13" s="75"/>
      <c r="R13" s="75"/>
      <c r="S13" s="75"/>
      <c r="T13" s="75"/>
      <c r="U13" s="75"/>
      <c r="V13" s="75"/>
    </row>
    <row r="14" spans="1:22" ht="21">
      <c r="A14" s="196"/>
      <c r="B14" s="154" t="s">
        <v>192</v>
      </c>
      <c r="C14" s="43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69</v>
      </c>
      <c r="J14" s="44">
        <v>0</v>
      </c>
      <c r="K14" s="44">
        <v>0</v>
      </c>
      <c r="L14" s="44">
        <v>0</v>
      </c>
      <c r="M14" s="44">
        <v>0</v>
      </c>
      <c r="N14" s="65">
        <v>0</v>
      </c>
      <c r="O14" s="91">
        <f t="shared" si="0"/>
        <v>69</v>
      </c>
      <c r="P14" s="75"/>
      <c r="Q14" s="75"/>
      <c r="R14" s="75"/>
      <c r="S14" s="75"/>
      <c r="T14" s="75"/>
      <c r="U14" s="75"/>
      <c r="V14" s="75"/>
    </row>
    <row r="15" spans="1:22" ht="15.75">
      <c r="A15" s="196"/>
      <c r="B15" s="161" t="s">
        <v>222</v>
      </c>
      <c r="C15" s="43">
        <v>0</v>
      </c>
      <c r="D15" s="44">
        <v>0</v>
      </c>
      <c r="E15" s="44">
        <v>76</v>
      </c>
      <c r="F15" s="44">
        <v>436</v>
      </c>
      <c r="G15" s="44">
        <v>61</v>
      </c>
      <c r="H15" s="44">
        <v>133</v>
      </c>
      <c r="I15" s="44">
        <v>394</v>
      </c>
      <c r="J15" s="44">
        <v>658</v>
      </c>
      <c r="K15" s="44">
        <v>61</v>
      </c>
      <c r="L15" s="44">
        <v>231</v>
      </c>
      <c r="M15" s="44">
        <v>2639</v>
      </c>
      <c r="N15" s="65">
        <v>888</v>
      </c>
      <c r="O15" s="91">
        <f t="shared" si="0"/>
        <v>5577</v>
      </c>
      <c r="P15" s="75"/>
      <c r="Q15" s="75"/>
      <c r="R15" s="75"/>
      <c r="S15" s="75"/>
      <c r="T15" s="75"/>
      <c r="U15" s="75"/>
      <c r="V15" s="75"/>
    </row>
    <row r="16" spans="1:22" ht="15.75">
      <c r="A16" s="196"/>
      <c r="B16" s="154" t="s">
        <v>105</v>
      </c>
      <c r="C16" s="43">
        <v>227</v>
      </c>
      <c r="D16" s="44">
        <v>0</v>
      </c>
      <c r="E16" s="44">
        <v>25</v>
      </c>
      <c r="F16" s="44">
        <v>0</v>
      </c>
      <c r="G16" s="44">
        <v>124</v>
      </c>
      <c r="H16" s="44">
        <v>682</v>
      </c>
      <c r="I16" s="44">
        <v>3999</v>
      </c>
      <c r="J16" s="44">
        <v>6516</v>
      </c>
      <c r="K16" s="44">
        <v>7311</v>
      </c>
      <c r="L16" s="44">
        <v>8027</v>
      </c>
      <c r="M16" s="44">
        <v>2138</v>
      </c>
      <c r="N16" s="65">
        <v>1519</v>
      </c>
      <c r="O16" s="91">
        <f t="shared" si="0"/>
        <v>30568</v>
      </c>
      <c r="P16" s="75"/>
      <c r="Q16" s="75"/>
      <c r="R16" s="75"/>
      <c r="S16" s="75"/>
      <c r="T16" s="75"/>
      <c r="U16" s="75"/>
      <c r="V16" s="75"/>
    </row>
    <row r="17" spans="1:22" ht="15.75">
      <c r="A17" s="196"/>
      <c r="B17" s="154" t="s">
        <v>106</v>
      </c>
      <c r="C17" s="88">
        <v>423</v>
      </c>
      <c r="D17" s="89">
        <v>45</v>
      </c>
      <c r="E17" s="89">
        <v>0</v>
      </c>
      <c r="F17" s="89">
        <v>30</v>
      </c>
      <c r="G17" s="89">
        <v>3555</v>
      </c>
      <c r="H17" s="89">
        <v>809</v>
      </c>
      <c r="I17" s="89">
        <v>3327</v>
      </c>
      <c r="J17" s="89">
        <v>8695</v>
      </c>
      <c r="K17" s="89">
        <v>8792</v>
      </c>
      <c r="L17" s="89">
        <v>1511</v>
      </c>
      <c r="M17" s="89">
        <v>23</v>
      </c>
      <c r="N17" s="93">
        <v>65</v>
      </c>
      <c r="O17" s="91">
        <f t="shared" si="0"/>
        <v>27275</v>
      </c>
      <c r="P17" s="75"/>
      <c r="Q17" s="75"/>
      <c r="R17" s="75"/>
      <c r="S17" s="75"/>
      <c r="T17" s="75"/>
      <c r="U17" s="75"/>
      <c r="V17" s="75"/>
    </row>
    <row r="18" spans="1:22" ht="15.75">
      <c r="A18" s="196"/>
      <c r="B18" s="162" t="s">
        <v>92</v>
      </c>
      <c r="C18" s="88">
        <v>0</v>
      </c>
      <c r="D18" s="89">
        <v>0</v>
      </c>
      <c r="E18" s="89">
        <v>0</v>
      </c>
      <c r="F18" s="89">
        <v>0</v>
      </c>
      <c r="G18" s="89">
        <v>0</v>
      </c>
      <c r="H18" s="89">
        <v>0</v>
      </c>
      <c r="I18" s="89">
        <v>0</v>
      </c>
      <c r="J18" s="89">
        <v>0</v>
      </c>
      <c r="K18" s="89">
        <v>0</v>
      </c>
      <c r="L18" s="89">
        <v>14</v>
      </c>
      <c r="M18" s="89">
        <v>0</v>
      </c>
      <c r="N18" s="93">
        <v>0</v>
      </c>
      <c r="O18" s="48">
        <f t="shared" si="0"/>
        <v>14</v>
      </c>
      <c r="P18" s="75"/>
      <c r="Q18" s="75"/>
      <c r="R18" s="75"/>
      <c r="S18" s="75"/>
      <c r="T18" s="75"/>
      <c r="U18" s="75"/>
      <c r="V18" s="75"/>
    </row>
    <row r="19" spans="1:38" s="9" customFormat="1" ht="21.75" thickBot="1">
      <c r="A19" s="196"/>
      <c r="B19" s="158" t="s">
        <v>194</v>
      </c>
      <c r="C19" s="57">
        <v>9</v>
      </c>
      <c r="D19" s="37">
        <v>9</v>
      </c>
      <c r="E19" s="37">
        <v>11</v>
      </c>
      <c r="F19" s="37">
        <v>17</v>
      </c>
      <c r="G19" s="37">
        <v>20</v>
      </c>
      <c r="H19" s="37">
        <v>24</v>
      </c>
      <c r="I19" s="37">
        <v>46</v>
      </c>
      <c r="J19" s="37">
        <v>147</v>
      </c>
      <c r="K19" s="37">
        <v>38</v>
      </c>
      <c r="L19" s="37">
        <v>24</v>
      </c>
      <c r="M19" s="37">
        <v>21</v>
      </c>
      <c r="N19" s="58">
        <v>9</v>
      </c>
      <c r="O19" s="124">
        <f>SUM(C19:N19)</f>
        <v>375</v>
      </c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9" s="9" customFormat="1" ht="13.5" thickBot="1">
      <c r="A20" s="199"/>
      <c r="B20" s="81" t="s">
        <v>2</v>
      </c>
      <c r="C20" s="94">
        <f>SUM(C7:C19)</f>
        <v>841</v>
      </c>
      <c r="D20" s="87">
        <f>SUM(D7:D19)</f>
        <v>181</v>
      </c>
      <c r="E20" s="87">
        <f>SUM(E7:E19)</f>
        <v>390</v>
      </c>
      <c r="F20" s="87">
        <f aca="true" t="shared" si="1" ref="F20:N20">SUM(F7:F19)</f>
        <v>1047</v>
      </c>
      <c r="G20" s="87">
        <f t="shared" si="1"/>
        <v>14147</v>
      </c>
      <c r="H20" s="87">
        <f t="shared" si="1"/>
        <v>15130</v>
      </c>
      <c r="I20" s="87">
        <f t="shared" si="1"/>
        <v>27038</v>
      </c>
      <c r="J20" s="87">
        <f t="shared" si="1"/>
        <v>35902</v>
      </c>
      <c r="K20" s="87">
        <f t="shared" si="1"/>
        <v>32700</v>
      </c>
      <c r="L20" s="87">
        <f t="shared" si="1"/>
        <v>22667</v>
      </c>
      <c r="M20" s="87">
        <f t="shared" si="1"/>
        <v>9871</v>
      </c>
      <c r="N20" s="95">
        <f t="shared" si="1"/>
        <v>3257</v>
      </c>
      <c r="O20" s="92">
        <f>SUM(C20:N20)</f>
        <v>163171</v>
      </c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1:38" s="9" customFormat="1" ht="12.75">
      <c r="A21" s="14"/>
      <c r="B21" s="11"/>
      <c r="C21" s="80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39" s="9" customFormat="1" ht="18.75">
      <c r="A22" s="6" t="s">
        <v>3</v>
      </c>
      <c r="B22" s="23"/>
      <c r="C22" s="7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1:35" s="9" customFormat="1" ht="12.75">
      <c r="A23" s="5" t="s">
        <v>148</v>
      </c>
      <c r="B23" s="23"/>
      <c r="C23" s="7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1:35" s="9" customFormat="1" ht="12.75">
      <c r="A24" s="13" t="s">
        <v>217</v>
      </c>
      <c r="B24" s="10"/>
      <c r="C24" s="7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5" s="9" customFormat="1" ht="9.75" customHeight="1" thickBot="1">
      <c r="A25" s="13"/>
      <c r="B25" s="10"/>
      <c r="C25" s="7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:39" s="9" customFormat="1" ht="13.5" thickBot="1">
      <c r="A26" s="4"/>
      <c r="B26" s="10"/>
      <c r="C26" s="185">
        <v>2007</v>
      </c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7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</row>
    <row r="27" spans="1:39" s="9" customFormat="1" ht="48" thickBot="1">
      <c r="A27" s="4"/>
      <c r="B27" s="10"/>
      <c r="C27" s="51" t="s">
        <v>77</v>
      </c>
      <c r="D27" s="53" t="s">
        <v>78</v>
      </c>
      <c r="E27" s="53" t="s">
        <v>79</v>
      </c>
      <c r="F27" s="53" t="s">
        <v>80</v>
      </c>
      <c r="G27" s="53" t="s">
        <v>81</v>
      </c>
      <c r="H27" s="53" t="s">
        <v>82</v>
      </c>
      <c r="I27" s="53" t="s">
        <v>83</v>
      </c>
      <c r="J27" s="53" t="s">
        <v>84</v>
      </c>
      <c r="K27" s="53" t="s">
        <v>85</v>
      </c>
      <c r="L27" s="53" t="s">
        <v>86</v>
      </c>
      <c r="M27" s="53" t="s">
        <v>87</v>
      </c>
      <c r="N27" s="52" t="s">
        <v>88</v>
      </c>
      <c r="O27" s="73" t="s">
        <v>89</v>
      </c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</row>
    <row r="28" spans="1:39" s="9" customFormat="1" ht="12.75">
      <c r="A28" s="195" t="s">
        <v>0</v>
      </c>
      <c r="B28" s="153" t="s">
        <v>185</v>
      </c>
      <c r="C28" s="39">
        <v>5411</v>
      </c>
      <c r="D28" s="40">
        <v>144</v>
      </c>
      <c r="E28" s="40">
        <v>0</v>
      </c>
      <c r="F28" s="40">
        <v>0</v>
      </c>
      <c r="G28" s="40">
        <v>132</v>
      </c>
      <c r="H28" s="40">
        <v>0</v>
      </c>
      <c r="I28" s="40">
        <v>0</v>
      </c>
      <c r="J28" s="40">
        <v>0</v>
      </c>
      <c r="K28" s="40">
        <v>0</v>
      </c>
      <c r="L28" s="40">
        <v>171</v>
      </c>
      <c r="M28" s="40">
        <v>46</v>
      </c>
      <c r="N28" s="41">
        <v>0</v>
      </c>
      <c r="O28" s="82">
        <f>SUM(C28:N28)</f>
        <v>5904</v>
      </c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</row>
    <row r="29" spans="1:39" s="9" customFormat="1" ht="12.75">
      <c r="A29" s="196"/>
      <c r="B29" s="163" t="s">
        <v>92</v>
      </c>
      <c r="C29" s="43">
        <v>9390</v>
      </c>
      <c r="D29" s="44">
        <v>33604</v>
      </c>
      <c r="E29" s="44">
        <v>48959</v>
      </c>
      <c r="F29" s="44">
        <v>4153</v>
      </c>
      <c r="G29" s="44">
        <v>5</v>
      </c>
      <c r="H29" s="44">
        <v>0</v>
      </c>
      <c r="I29" s="44">
        <v>0</v>
      </c>
      <c r="J29" s="44">
        <v>0</v>
      </c>
      <c r="K29" s="44">
        <v>20</v>
      </c>
      <c r="L29" s="44">
        <v>164</v>
      </c>
      <c r="M29" s="44">
        <v>70</v>
      </c>
      <c r="N29" s="45">
        <v>322</v>
      </c>
      <c r="O29" s="46">
        <f>SUM(C29:N29)</f>
        <v>96687</v>
      </c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1:39" s="9" customFormat="1" ht="12.75">
      <c r="A30" s="196"/>
      <c r="B30" s="154" t="s">
        <v>186</v>
      </c>
      <c r="C30" s="43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5">
        <v>0</v>
      </c>
      <c r="O30" s="46">
        <f>SUM(C30:N30)</f>
        <v>0</v>
      </c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1:39" s="9" customFormat="1" ht="12.75">
      <c r="A31" s="196"/>
      <c r="B31" s="155" t="s">
        <v>188</v>
      </c>
      <c r="C31" s="43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5">
        <v>0</v>
      </c>
      <c r="O31" s="46">
        <f aca="true" t="shared" si="2" ref="O31:O43">SUM(C31:N31)</f>
        <v>0</v>
      </c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</row>
    <row r="32" spans="1:39" s="9" customFormat="1" ht="12.75">
      <c r="A32" s="196"/>
      <c r="B32" s="154" t="s">
        <v>187</v>
      </c>
      <c r="C32" s="43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5">
        <v>0</v>
      </c>
      <c r="O32" s="46">
        <f t="shared" si="2"/>
        <v>0</v>
      </c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1:39" s="9" customFormat="1" ht="12.75">
      <c r="A33" s="196"/>
      <c r="B33" s="160" t="s">
        <v>189</v>
      </c>
      <c r="C33" s="43">
        <v>0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5">
        <v>0</v>
      </c>
      <c r="O33" s="46">
        <f t="shared" si="2"/>
        <v>0</v>
      </c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 spans="1:39" s="9" customFormat="1" ht="12.75">
      <c r="A34" s="196"/>
      <c r="B34" s="160" t="s">
        <v>191</v>
      </c>
      <c r="C34" s="43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5">
        <v>0</v>
      </c>
      <c r="O34" s="46">
        <f t="shared" si="2"/>
        <v>0</v>
      </c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 spans="1:39" s="9" customFormat="1" ht="12.75">
      <c r="A35" s="196"/>
      <c r="B35" s="154" t="s">
        <v>190</v>
      </c>
      <c r="C35" s="34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6">
        <v>0</v>
      </c>
      <c r="O35" s="46">
        <f t="shared" si="2"/>
        <v>0</v>
      </c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</row>
    <row r="36" spans="1:39" s="9" customFormat="1" ht="12.75">
      <c r="A36" s="196"/>
      <c r="B36" s="161" t="s">
        <v>222</v>
      </c>
      <c r="C36" s="34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6">
        <v>0</v>
      </c>
      <c r="O36" s="46">
        <f t="shared" si="2"/>
        <v>0</v>
      </c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</row>
    <row r="37" spans="1:39" s="9" customFormat="1" ht="12.75">
      <c r="A37" s="196"/>
      <c r="B37" s="154" t="s">
        <v>105</v>
      </c>
      <c r="C37" s="34">
        <v>5012</v>
      </c>
      <c r="D37" s="35">
        <v>4977</v>
      </c>
      <c r="E37" s="35">
        <v>3951</v>
      </c>
      <c r="F37" s="35">
        <v>1415</v>
      </c>
      <c r="G37" s="35">
        <v>345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768</v>
      </c>
      <c r="N37" s="36">
        <v>4470</v>
      </c>
      <c r="O37" s="46">
        <f t="shared" si="2"/>
        <v>20938</v>
      </c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spans="1:39" s="9" customFormat="1" ht="12.75">
      <c r="A38" s="196"/>
      <c r="B38" s="154" t="s">
        <v>106</v>
      </c>
      <c r="C38" s="34">
        <v>5416</v>
      </c>
      <c r="D38" s="35">
        <v>3925</v>
      </c>
      <c r="E38" s="35">
        <v>3607</v>
      </c>
      <c r="F38" s="35">
        <v>3056</v>
      </c>
      <c r="G38" s="35">
        <v>2383</v>
      </c>
      <c r="H38" s="35">
        <v>411</v>
      </c>
      <c r="I38" s="35">
        <v>984</v>
      </c>
      <c r="J38" s="35">
        <v>2977</v>
      </c>
      <c r="K38" s="35">
        <v>2602</v>
      </c>
      <c r="L38" s="35">
        <v>5348</v>
      </c>
      <c r="M38" s="35">
        <v>5482</v>
      </c>
      <c r="N38" s="36">
        <v>6841</v>
      </c>
      <c r="O38" s="46">
        <f t="shared" si="2"/>
        <v>43032</v>
      </c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</row>
    <row r="39" spans="1:39" s="9" customFormat="1" ht="12.75">
      <c r="A39" s="196"/>
      <c r="B39" s="163" t="s">
        <v>4</v>
      </c>
      <c r="C39" s="34">
        <v>264</v>
      </c>
      <c r="D39" s="35">
        <v>115</v>
      </c>
      <c r="E39" s="35">
        <v>27</v>
      </c>
      <c r="F39" s="35">
        <v>25</v>
      </c>
      <c r="G39" s="35">
        <v>58</v>
      </c>
      <c r="H39" s="35">
        <v>190</v>
      </c>
      <c r="I39" s="35">
        <v>389</v>
      </c>
      <c r="J39" s="35">
        <v>460</v>
      </c>
      <c r="K39" s="35">
        <v>609</v>
      </c>
      <c r="L39" s="35">
        <v>125</v>
      </c>
      <c r="M39" s="35">
        <v>45</v>
      </c>
      <c r="N39" s="36">
        <v>28</v>
      </c>
      <c r="O39" s="46">
        <f t="shared" si="2"/>
        <v>2335</v>
      </c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</row>
    <row r="40" spans="1:39" s="9" customFormat="1" ht="12.75">
      <c r="A40" s="196"/>
      <c r="B40" s="163" t="s">
        <v>94</v>
      </c>
      <c r="C40" s="57">
        <v>0</v>
      </c>
      <c r="D40" s="37">
        <v>0</v>
      </c>
      <c r="E40" s="37">
        <v>18</v>
      </c>
      <c r="F40" s="37">
        <v>19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8">
        <v>0</v>
      </c>
      <c r="O40" s="46">
        <f t="shared" si="2"/>
        <v>37</v>
      </c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</row>
    <row r="41" spans="1:39" s="9" customFormat="1" ht="12.75">
      <c r="A41" s="196"/>
      <c r="B41" s="162" t="s">
        <v>99</v>
      </c>
      <c r="C41" s="57">
        <v>0</v>
      </c>
      <c r="D41" s="37">
        <v>0</v>
      </c>
      <c r="E41" s="37">
        <v>175</v>
      </c>
      <c r="F41" s="37">
        <v>47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8">
        <v>0</v>
      </c>
      <c r="O41" s="46">
        <f t="shared" si="2"/>
        <v>222</v>
      </c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</row>
    <row r="42" spans="1:39" s="9" customFormat="1" ht="21.75" thickBot="1">
      <c r="A42" s="196"/>
      <c r="B42" s="158" t="s">
        <v>194</v>
      </c>
      <c r="C42" s="57">
        <v>23</v>
      </c>
      <c r="D42" s="37">
        <v>33</v>
      </c>
      <c r="E42" s="37">
        <v>20</v>
      </c>
      <c r="F42" s="37">
        <v>19</v>
      </c>
      <c r="G42" s="37">
        <v>27</v>
      </c>
      <c r="H42" s="37">
        <v>15</v>
      </c>
      <c r="I42" s="37">
        <v>17</v>
      </c>
      <c r="J42" s="98">
        <v>14</v>
      </c>
      <c r="K42" s="37">
        <v>10</v>
      </c>
      <c r="L42" s="37">
        <v>38</v>
      </c>
      <c r="M42" s="37">
        <v>11</v>
      </c>
      <c r="N42" s="38">
        <v>16</v>
      </c>
      <c r="O42" s="99">
        <f t="shared" si="2"/>
        <v>243</v>
      </c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</row>
    <row r="43" spans="1:39" s="9" customFormat="1" ht="13.5" thickBot="1">
      <c r="A43" s="199"/>
      <c r="B43" s="81" t="s">
        <v>2</v>
      </c>
      <c r="C43" s="63">
        <f>SUM(C28:C42)</f>
        <v>25516</v>
      </c>
      <c r="D43" s="55">
        <f aca="true" t="shared" si="3" ref="D43:N43">SUM(D28:D42)</f>
        <v>42798</v>
      </c>
      <c r="E43" s="55">
        <f t="shared" si="3"/>
        <v>56757</v>
      </c>
      <c r="F43" s="55">
        <f t="shared" si="3"/>
        <v>8734</v>
      </c>
      <c r="G43" s="55">
        <f t="shared" si="3"/>
        <v>2950</v>
      </c>
      <c r="H43" s="55">
        <f t="shared" si="3"/>
        <v>616</v>
      </c>
      <c r="I43" s="55">
        <f t="shared" si="3"/>
        <v>1390</v>
      </c>
      <c r="J43" s="55">
        <f t="shared" si="3"/>
        <v>3451</v>
      </c>
      <c r="K43" s="55">
        <f t="shared" si="3"/>
        <v>3241</v>
      </c>
      <c r="L43" s="55">
        <f t="shared" si="3"/>
        <v>5846</v>
      </c>
      <c r="M43" s="55">
        <f t="shared" si="3"/>
        <v>6422</v>
      </c>
      <c r="N43" s="64">
        <f t="shared" si="3"/>
        <v>11677</v>
      </c>
      <c r="O43" s="85">
        <f t="shared" si="2"/>
        <v>169398</v>
      </c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1:39" s="9" customFormat="1" ht="12.75">
      <c r="A44" s="14"/>
      <c r="B44" s="11"/>
      <c r="C44" s="80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</row>
    <row r="45" spans="1:39" s="9" customFormat="1" ht="12.75">
      <c r="A45" s="14"/>
      <c r="B45" s="11"/>
      <c r="C45" s="80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</row>
    <row r="46" spans="1:39" s="9" customFormat="1" ht="12.75">
      <c r="A46" s="14"/>
      <c r="B46" s="11"/>
      <c r="C46" s="80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1:39" s="9" customFormat="1" ht="12.75">
      <c r="A47" s="14"/>
      <c r="B47" s="11"/>
      <c r="C47" s="80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48" spans="1:39" s="9" customFormat="1" ht="12.75">
      <c r="A48" s="14"/>
      <c r="B48" s="11"/>
      <c r="C48" s="80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</row>
    <row r="49" spans="1:39" s="9" customFormat="1" ht="12.75">
      <c r="A49" s="14"/>
      <c r="B49" s="11"/>
      <c r="C49" s="80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</row>
    <row r="50" spans="1:39" s="9" customFormat="1" ht="12.75">
      <c r="A50" s="14"/>
      <c r="B50" s="11"/>
      <c r="C50" s="80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</row>
    <row r="51" spans="1:39" s="9" customFormat="1" ht="12.75">
      <c r="A51" s="14"/>
      <c r="B51" s="11"/>
      <c r="C51" s="80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</row>
    <row r="52" spans="1:39" s="9" customFormat="1" ht="12.75">
      <c r="A52" s="14"/>
      <c r="B52" s="11"/>
      <c r="C52" s="80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</row>
    <row r="53" spans="1:39" s="9" customFormat="1" ht="12.75">
      <c r="A53" s="14"/>
      <c r="B53" s="11"/>
      <c r="C53" s="80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</row>
    <row r="54" spans="1:39" s="9" customFormat="1" ht="12.75">
      <c r="A54" s="14"/>
      <c r="B54" s="11"/>
      <c r="C54" s="80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</row>
    <row r="55" spans="1:39" s="9" customFormat="1" ht="12.75">
      <c r="A55" s="14"/>
      <c r="B55" s="11"/>
      <c r="C55" s="80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</row>
    <row r="56" spans="1:39" s="9" customFormat="1" ht="12.75">
      <c r="A56" s="14"/>
      <c r="B56" s="11"/>
      <c r="C56" s="80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</row>
    <row r="57" spans="1:39" s="9" customFormat="1" ht="12.75">
      <c r="A57" s="14"/>
      <c r="B57" s="11"/>
      <c r="C57" s="80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1:39" s="9" customFormat="1" ht="12.75">
      <c r="A58" s="14"/>
      <c r="B58" s="11"/>
      <c r="C58" s="80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1:39" s="9" customFormat="1" ht="12.75">
      <c r="A59" s="14"/>
      <c r="B59" s="11"/>
      <c r="C59" s="80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1:39" s="9" customFormat="1" ht="12.75">
      <c r="A60" s="14"/>
      <c r="B60" s="11"/>
      <c r="C60" s="80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  <row r="61" spans="1:39" s="9" customFormat="1" ht="12.75">
      <c r="A61" s="14"/>
      <c r="B61" s="11"/>
      <c r="C61" s="80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</row>
    <row r="62" spans="1:39" s="9" customFormat="1" ht="12.75">
      <c r="A62" s="14"/>
      <c r="B62" s="11"/>
      <c r="C62" s="80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</row>
    <row r="63" spans="1:39" s="9" customFormat="1" ht="12.75">
      <c r="A63" s="14"/>
      <c r="B63" s="11"/>
      <c r="C63" s="80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</row>
    <row r="64" spans="1:39" s="9" customFormat="1" ht="12.75">
      <c r="A64" s="14"/>
      <c r="B64" s="11"/>
      <c r="C64" s="80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</row>
    <row r="65" spans="1:39" s="9" customFormat="1" ht="12.75">
      <c r="A65" s="14"/>
      <c r="B65" s="11"/>
      <c r="C65" s="80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</row>
    <row r="66" spans="1:39" s="9" customFormat="1" ht="12.75">
      <c r="A66" s="14"/>
      <c r="B66" s="11"/>
      <c r="C66" s="80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</row>
    <row r="67" spans="1:39" s="9" customFormat="1" ht="12.75">
      <c r="A67" s="14"/>
      <c r="B67" s="11"/>
      <c r="C67" s="80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</row>
    <row r="68" spans="1:39" s="9" customFormat="1" ht="12.75">
      <c r="A68" s="14"/>
      <c r="B68" s="11"/>
      <c r="C68" s="80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</row>
    <row r="69" spans="1:39" s="9" customFormat="1" ht="12.75">
      <c r="A69" s="14"/>
      <c r="B69" s="11"/>
      <c r="C69" s="80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</row>
    <row r="70" spans="1:39" s="9" customFormat="1" ht="12.75">
      <c r="A70" s="14"/>
      <c r="B70" s="11"/>
      <c r="C70" s="80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</row>
    <row r="71" spans="1:39" s="9" customFormat="1" ht="12.75">
      <c r="A71" s="14"/>
      <c r="B71" s="11"/>
      <c r="C71" s="80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</row>
    <row r="72" spans="1:39" s="9" customFormat="1" ht="12.75">
      <c r="A72" s="14"/>
      <c r="B72" s="11"/>
      <c r="C72" s="80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</row>
    <row r="73" spans="1:39" s="9" customFormat="1" ht="12.75">
      <c r="A73" s="14"/>
      <c r="B73" s="11"/>
      <c r="C73" s="80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</row>
    <row r="74" spans="1:39" s="9" customFormat="1" ht="12.75">
      <c r="A74" s="14"/>
      <c r="B74" s="11"/>
      <c r="C74" s="80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</row>
    <row r="75" spans="1:39" s="9" customFormat="1" ht="12.75">
      <c r="A75" s="14"/>
      <c r="B75" s="11"/>
      <c r="C75" s="80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</row>
    <row r="76" spans="1:39" s="9" customFormat="1" ht="12.75">
      <c r="A76" s="14"/>
      <c r="B76" s="11"/>
      <c r="C76" s="80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</row>
    <row r="77" spans="1:39" s="9" customFormat="1" ht="12.75">
      <c r="A77" s="14"/>
      <c r="B77" s="11"/>
      <c r="C77" s="80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</row>
    <row r="78" spans="1:39" s="9" customFormat="1" ht="12.75">
      <c r="A78" s="14"/>
      <c r="B78" s="11"/>
      <c r="C78" s="80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</row>
    <row r="79" spans="1:39" s="9" customFormat="1" ht="12.75">
      <c r="A79" s="14"/>
      <c r="B79" s="11"/>
      <c r="C79" s="80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</row>
    <row r="80" spans="1:39" s="9" customFormat="1" ht="12.75">
      <c r="A80" s="14"/>
      <c r="B80" s="11"/>
      <c r="C80" s="80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</row>
    <row r="81" spans="1:39" s="9" customFormat="1" ht="12.75">
      <c r="A81" s="14"/>
      <c r="B81" s="11"/>
      <c r="C81" s="80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</row>
    <row r="82" spans="1:39" s="9" customFormat="1" ht="12.75">
      <c r="A82" s="14"/>
      <c r="B82" s="11"/>
      <c r="C82" s="80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</row>
    <row r="83" spans="1:39" s="9" customFormat="1" ht="12.75">
      <c r="A83" s="14"/>
      <c r="B83" s="11"/>
      <c r="C83" s="80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</row>
    <row r="84" spans="1:39" s="9" customFormat="1" ht="12.75">
      <c r="A84" s="14"/>
      <c r="B84" s="11"/>
      <c r="C84" s="80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</row>
    <row r="85" spans="1:39" s="9" customFormat="1" ht="12.75">
      <c r="A85" s="14"/>
      <c r="B85" s="11"/>
      <c r="C85" s="80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</row>
    <row r="86" spans="1:39" s="9" customFormat="1" ht="12.75">
      <c r="A86" s="14"/>
      <c r="B86" s="11"/>
      <c r="C86" s="80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</row>
    <row r="87" spans="1:39" s="9" customFormat="1" ht="12.75">
      <c r="A87" s="14"/>
      <c r="B87" s="11"/>
      <c r="C87" s="80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</row>
    <row r="88" spans="1:39" s="9" customFormat="1" ht="12.75">
      <c r="A88" s="14"/>
      <c r="B88" s="11"/>
      <c r="C88" s="80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</row>
    <row r="89" spans="1:39" s="9" customFormat="1" ht="12.75">
      <c r="A89" s="14"/>
      <c r="B89" s="11"/>
      <c r="C89" s="80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</row>
    <row r="90" spans="1:39" s="9" customFormat="1" ht="12.75">
      <c r="A90" s="14"/>
      <c r="B90" s="11"/>
      <c r="C90" s="80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</row>
    <row r="91" spans="1:39" s="9" customFormat="1" ht="12.75">
      <c r="A91" s="14"/>
      <c r="B91" s="11"/>
      <c r="C91" s="80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</row>
    <row r="92" spans="1:39" s="9" customFormat="1" ht="12.75">
      <c r="A92" s="14"/>
      <c r="B92" s="11"/>
      <c r="C92" s="80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</row>
    <row r="93" spans="1:39" s="9" customFormat="1" ht="12.75">
      <c r="A93" s="14"/>
      <c r="B93" s="11"/>
      <c r="C93" s="80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</row>
    <row r="94" spans="1:39" s="9" customFormat="1" ht="12.75">
      <c r="A94" s="14"/>
      <c r="B94" s="11"/>
      <c r="C94" s="80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</row>
    <row r="95" spans="1:39" s="9" customFormat="1" ht="12.75">
      <c r="A95" s="14"/>
      <c r="B95" s="11"/>
      <c r="C95" s="80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</row>
    <row r="96" spans="1:39" s="9" customFormat="1" ht="12.75">
      <c r="A96" s="14"/>
      <c r="B96" s="11"/>
      <c r="C96" s="80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</row>
    <row r="97" spans="1:39" s="9" customFormat="1" ht="12.75">
      <c r="A97" s="14"/>
      <c r="B97" s="11"/>
      <c r="C97" s="80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</row>
    <row r="98" spans="1:39" s="9" customFormat="1" ht="12.75">
      <c r="A98" s="14"/>
      <c r="B98" s="11"/>
      <c r="C98" s="80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</row>
    <row r="99" spans="1:39" s="9" customFormat="1" ht="12.75">
      <c r="A99" s="14"/>
      <c r="B99" s="11"/>
      <c r="C99" s="80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</row>
    <row r="100" spans="1:39" s="9" customFormat="1" ht="12.75">
      <c r="A100" s="14"/>
      <c r="B100" s="11"/>
      <c r="C100" s="80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</row>
    <row r="101" spans="1:39" s="9" customFormat="1" ht="12.75">
      <c r="A101" s="14"/>
      <c r="B101" s="11"/>
      <c r="C101" s="80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</row>
    <row r="102" spans="1:39" s="9" customFormat="1" ht="12.75">
      <c r="A102" s="14"/>
      <c r="B102" s="11"/>
      <c r="C102" s="80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</row>
    <row r="103" spans="1:39" s="9" customFormat="1" ht="12.75">
      <c r="A103" s="14"/>
      <c r="B103" s="11"/>
      <c r="C103" s="80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</row>
    <row r="104" spans="1:39" s="9" customFormat="1" ht="12.75">
      <c r="A104" s="14"/>
      <c r="B104" s="11"/>
      <c r="C104" s="80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</row>
    <row r="105" spans="1:39" s="9" customFormat="1" ht="12.75">
      <c r="A105" s="14"/>
      <c r="B105" s="11"/>
      <c r="C105" s="80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</row>
    <row r="106" spans="1:39" s="9" customFormat="1" ht="12.75">
      <c r="A106" s="14"/>
      <c r="B106" s="11"/>
      <c r="C106" s="80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</row>
    <row r="107" spans="1:39" s="9" customFormat="1" ht="12.75">
      <c r="A107" s="14"/>
      <c r="B107" s="11"/>
      <c r="C107" s="80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</row>
    <row r="108" spans="1:39" s="9" customFormat="1" ht="12.75">
      <c r="A108" s="14"/>
      <c r="B108" s="11"/>
      <c r="C108" s="80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</row>
    <row r="109" spans="1:39" s="9" customFormat="1" ht="12.75">
      <c r="A109" s="14"/>
      <c r="B109" s="11"/>
      <c r="C109" s="80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</row>
    <row r="110" spans="1:39" s="9" customFormat="1" ht="12.75">
      <c r="A110" s="14"/>
      <c r="B110" s="11"/>
      <c r="C110" s="80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</row>
    <row r="111" spans="1:39" s="9" customFormat="1" ht="12.75">
      <c r="A111" s="14"/>
      <c r="B111" s="11"/>
      <c r="C111" s="80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</row>
    <row r="112" spans="1:39" s="9" customFormat="1" ht="12.75">
      <c r="A112" s="14"/>
      <c r="B112" s="11"/>
      <c r="C112" s="80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</row>
    <row r="113" spans="1:39" s="9" customFormat="1" ht="12.75">
      <c r="A113" s="14"/>
      <c r="B113" s="11"/>
      <c r="C113" s="80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</row>
    <row r="114" spans="1:39" s="9" customFormat="1" ht="12.75">
      <c r="A114" s="14"/>
      <c r="B114" s="11"/>
      <c r="C114" s="80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</row>
    <row r="115" spans="1:39" s="9" customFormat="1" ht="12.75">
      <c r="A115" s="14"/>
      <c r="B115" s="11"/>
      <c r="C115" s="80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</row>
    <row r="116" spans="1:39" s="9" customFormat="1" ht="12.75">
      <c r="A116" s="14"/>
      <c r="B116" s="11"/>
      <c r="C116" s="80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</row>
    <row r="117" spans="1:39" s="9" customFormat="1" ht="12.75">
      <c r="A117" s="14"/>
      <c r="B117" s="11"/>
      <c r="C117" s="80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</row>
    <row r="118" spans="1:39" s="9" customFormat="1" ht="12.75">
      <c r="A118" s="14"/>
      <c r="B118" s="11"/>
      <c r="C118" s="80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</row>
    <row r="119" spans="1:39" s="9" customFormat="1" ht="12.75">
      <c r="A119" s="14"/>
      <c r="B119" s="11"/>
      <c r="C119" s="80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</row>
    <row r="120" spans="1:39" s="9" customFormat="1" ht="12.75">
      <c r="A120" s="14"/>
      <c r="B120" s="11"/>
      <c r="C120" s="80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</row>
    <row r="121" spans="1:39" s="9" customFormat="1" ht="12.75">
      <c r="A121" s="14"/>
      <c r="B121" s="11"/>
      <c r="C121" s="80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</row>
    <row r="122" spans="1:39" s="9" customFormat="1" ht="12.75">
      <c r="A122" s="14"/>
      <c r="B122" s="11"/>
      <c r="C122" s="80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</row>
    <row r="123" spans="1:39" s="9" customFormat="1" ht="12.75">
      <c r="A123" s="14"/>
      <c r="B123" s="11"/>
      <c r="C123" s="80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</row>
    <row r="124" spans="1:39" s="9" customFormat="1" ht="12.75">
      <c r="A124" s="14"/>
      <c r="B124" s="11"/>
      <c r="C124" s="80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</row>
    <row r="125" spans="1:39" s="9" customFormat="1" ht="12.75">
      <c r="A125" s="14"/>
      <c r="B125" s="11"/>
      <c r="C125" s="80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</row>
    <row r="126" spans="1:39" s="9" customFormat="1" ht="12.75">
      <c r="A126" s="14"/>
      <c r="B126" s="11"/>
      <c r="C126" s="80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</row>
    <row r="127" spans="1:39" s="9" customFormat="1" ht="12.75">
      <c r="A127" s="14"/>
      <c r="B127" s="11"/>
      <c r="C127" s="80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</row>
    <row r="128" spans="1:39" s="9" customFormat="1" ht="12.75">
      <c r="A128" s="14"/>
      <c r="B128" s="11"/>
      <c r="C128" s="80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</row>
    <row r="129" spans="1:39" s="9" customFormat="1" ht="12.75">
      <c r="A129" s="14"/>
      <c r="B129" s="11"/>
      <c r="C129" s="80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</row>
    <row r="130" spans="1:39" s="9" customFormat="1" ht="12.75">
      <c r="A130" s="14"/>
      <c r="B130" s="11"/>
      <c r="C130" s="80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</row>
    <row r="131" spans="1:39" s="9" customFormat="1" ht="12.75">
      <c r="A131" s="14"/>
      <c r="B131" s="11"/>
      <c r="C131" s="80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</row>
    <row r="132" spans="1:39" s="9" customFormat="1" ht="12.75">
      <c r="A132" s="14"/>
      <c r="B132" s="11"/>
      <c r="C132" s="80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</row>
    <row r="133" spans="1:39" s="9" customFormat="1" ht="12.75">
      <c r="A133" s="14"/>
      <c r="B133" s="11"/>
      <c r="C133" s="80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</row>
    <row r="134" spans="1:39" s="9" customFormat="1" ht="12.75">
      <c r="A134" s="14"/>
      <c r="B134" s="11"/>
      <c r="C134" s="80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</row>
    <row r="135" spans="1:39" s="9" customFormat="1" ht="12.75">
      <c r="A135" s="14"/>
      <c r="B135" s="11"/>
      <c r="C135" s="80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</row>
    <row r="136" spans="1:39" s="9" customFormat="1" ht="12.75">
      <c r="A136" s="14"/>
      <c r="B136" s="11"/>
      <c r="C136" s="80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</row>
    <row r="137" spans="1:39" s="9" customFormat="1" ht="12.75">
      <c r="A137" s="14"/>
      <c r="B137" s="11"/>
      <c r="C137" s="80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</row>
    <row r="138" spans="1:39" s="9" customFormat="1" ht="12.75">
      <c r="A138" s="14"/>
      <c r="B138" s="11"/>
      <c r="C138" s="80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</row>
    <row r="139" spans="1:39" s="9" customFormat="1" ht="12.75">
      <c r="A139" s="14"/>
      <c r="B139" s="11"/>
      <c r="C139" s="80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</row>
    <row r="140" spans="1:39" s="9" customFormat="1" ht="12.75">
      <c r="A140" s="14"/>
      <c r="B140" s="11"/>
      <c r="C140" s="80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</row>
    <row r="141" spans="1:39" s="9" customFormat="1" ht="12.75">
      <c r="A141" s="14"/>
      <c r="B141" s="11"/>
      <c r="C141" s="80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</row>
    <row r="142" spans="1:39" s="9" customFormat="1" ht="12.75">
      <c r="A142" s="14"/>
      <c r="B142" s="11"/>
      <c r="C142" s="80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</row>
    <row r="143" spans="1:39" s="9" customFormat="1" ht="12.75">
      <c r="A143" s="14"/>
      <c r="B143" s="11"/>
      <c r="C143" s="80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</row>
    <row r="144" spans="1:39" s="9" customFormat="1" ht="12.75">
      <c r="A144" s="14"/>
      <c r="B144" s="11"/>
      <c r="C144" s="80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</row>
    <row r="145" spans="1:39" s="9" customFormat="1" ht="12.75">
      <c r="A145" s="14"/>
      <c r="B145" s="11"/>
      <c r="C145" s="80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</row>
    <row r="146" spans="1:39" s="9" customFormat="1" ht="12.75">
      <c r="A146" s="14"/>
      <c r="B146" s="11"/>
      <c r="C146" s="80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</row>
    <row r="147" spans="1:39" s="9" customFormat="1" ht="12.75">
      <c r="A147" s="14"/>
      <c r="B147" s="11"/>
      <c r="C147" s="80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</row>
    <row r="148" spans="1:39" s="9" customFormat="1" ht="12.75">
      <c r="A148" s="14"/>
      <c r="B148" s="11"/>
      <c r="C148" s="80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</row>
    <row r="149" spans="1:39" s="9" customFormat="1" ht="12.75">
      <c r="A149" s="14"/>
      <c r="B149" s="11"/>
      <c r="C149" s="80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</row>
    <row r="150" spans="1:39" s="9" customFormat="1" ht="12.75">
      <c r="A150" s="14"/>
      <c r="B150" s="11"/>
      <c r="C150" s="80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</row>
    <row r="151" spans="1:39" s="9" customFormat="1" ht="12.75">
      <c r="A151" s="14"/>
      <c r="B151" s="11"/>
      <c r="C151" s="80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</row>
    <row r="152" spans="1:39" s="9" customFormat="1" ht="12.75">
      <c r="A152" s="14"/>
      <c r="B152" s="11"/>
      <c r="C152" s="80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</row>
    <row r="153" spans="1:39" s="9" customFormat="1" ht="12.75">
      <c r="A153" s="14"/>
      <c r="B153" s="11"/>
      <c r="C153" s="80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</row>
    <row r="154" spans="1:39" s="9" customFormat="1" ht="12.75">
      <c r="A154" s="14"/>
      <c r="B154" s="11"/>
      <c r="C154" s="80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</row>
    <row r="155" spans="1:39" s="9" customFormat="1" ht="12.75">
      <c r="A155" s="14"/>
      <c r="B155" s="11"/>
      <c r="C155" s="80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</row>
    <row r="156" spans="1:39" s="9" customFormat="1" ht="12.75">
      <c r="A156" s="14"/>
      <c r="B156" s="11"/>
      <c r="C156" s="80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</row>
    <row r="157" spans="1:39" s="9" customFormat="1" ht="12.75">
      <c r="A157" s="14"/>
      <c r="B157" s="11"/>
      <c r="C157" s="80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</row>
    <row r="158" spans="1:39" s="9" customFormat="1" ht="12.75">
      <c r="A158" s="14"/>
      <c r="B158" s="11"/>
      <c r="C158" s="80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</row>
    <row r="159" spans="1:39" s="9" customFormat="1" ht="12.75">
      <c r="A159" s="14"/>
      <c r="B159" s="11"/>
      <c r="C159" s="80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</row>
    <row r="160" spans="1:39" s="9" customFormat="1" ht="12.75">
      <c r="A160" s="14"/>
      <c r="B160" s="11"/>
      <c r="C160" s="80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</row>
    <row r="161" spans="1:39" s="9" customFormat="1" ht="12.75">
      <c r="A161" s="14"/>
      <c r="B161" s="11"/>
      <c r="C161" s="80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</row>
    <row r="162" spans="1:39" s="9" customFormat="1" ht="12.75">
      <c r="A162" s="14"/>
      <c r="B162" s="11"/>
      <c r="C162" s="80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</row>
    <row r="163" spans="1:39" s="9" customFormat="1" ht="12.75">
      <c r="A163" s="14"/>
      <c r="B163" s="11"/>
      <c r="C163" s="80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</row>
    <row r="164" spans="1:39" s="9" customFormat="1" ht="12.75">
      <c r="A164" s="14"/>
      <c r="B164" s="11"/>
      <c r="C164" s="80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</row>
    <row r="165" spans="1:39" s="9" customFormat="1" ht="12.75">
      <c r="A165" s="14"/>
      <c r="B165" s="11"/>
      <c r="C165" s="80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</row>
    <row r="166" spans="1:39" s="9" customFormat="1" ht="12.75">
      <c r="A166" s="14"/>
      <c r="B166" s="11"/>
      <c r="C166" s="80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</row>
    <row r="167" spans="1:39" s="9" customFormat="1" ht="12.75">
      <c r="A167" s="14"/>
      <c r="B167" s="11"/>
      <c r="C167" s="80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</row>
    <row r="168" spans="1:39" s="9" customFormat="1" ht="12.75">
      <c r="A168" s="14"/>
      <c r="B168" s="11"/>
      <c r="C168" s="80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</row>
    <row r="169" spans="1:39" s="9" customFormat="1" ht="12.75">
      <c r="A169" s="14"/>
      <c r="B169" s="11"/>
      <c r="C169" s="80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</row>
    <row r="170" spans="1:39" s="9" customFormat="1" ht="12.75">
      <c r="A170" s="14"/>
      <c r="B170" s="11"/>
      <c r="C170" s="80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</row>
    <row r="171" spans="1:39" s="9" customFormat="1" ht="12.75">
      <c r="A171" s="14"/>
      <c r="B171" s="11"/>
      <c r="C171" s="80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</row>
    <row r="172" spans="1:39" s="9" customFormat="1" ht="12.75">
      <c r="A172" s="14"/>
      <c r="B172" s="11"/>
      <c r="C172" s="80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</row>
    <row r="173" spans="1:39" s="9" customFormat="1" ht="12.75">
      <c r="A173" s="14"/>
      <c r="B173" s="11"/>
      <c r="C173" s="80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</row>
    <row r="174" spans="1:39" s="9" customFormat="1" ht="12.75">
      <c r="A174" s="14"/>
      <c r="B174" s="11"/>
      <c r="C174" s="80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</row>
    <row r="175" spans="1:39" s="9" customFormat="1" ht="12.75">
      <c r="A175" s="14"/>
      <c r="B175" s="11"/>
      <c r="C175" s="80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</row>
    <row r="176" spans="1:39" s="9" customFormat="1" ht="12.75">
      <c r="A176" s="14"/>
      <c r="B176" s="11"/>
      <c r="C176" s="80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</row>
    <row r="177" spans="1:39" s="9" customFormat="1" ht="12.75">
      <c r="A177" s="14"/>
      <c r="B177" s="11"/>
      <c r="C177" s="80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</row>
    <row r="178" spans="1:39" s="9" customFormat="1" ht="12.75">
      <c r="A178" s="14"/>
      <c r="B178" s="11"/>
      <c r="C178" s="80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</row>
    <row r="179" spans="1:39" s="9" customFormat="1" ht="12.75">
      <c r="A179" s="14"/>
      <c r="B179" s="11"/>
      <c r="C179" s="80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</row>
    <row r="180" spans="1:39" s="9" customFormat="1" ht="12.75">
      <c r="A180" s="14"/>
      <c r="B180" s="11"/>
      <c r="C180" s="80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</row>
    <row r="181" spans="1:39" s="9" customFormat="1" ht="12.75">
      <c r="A181" s="14"/>
      <c r="B181" s="11"/>
      <c r="C181" s="80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</row>
    <row r="182" spans="1:39" s="9" customFormat="1" ht="12.75">
      <c r="A182" s="14"/>
      <c r="B182" s="11"/>
      <c r="C182" s="80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</row>
    <row r="183" spans="1:39" s="9" customFormat="1" ht="12.75">
      <c r="A183" s="14"/>
      <c r="B183" s="11"/>
      <c r="C183" s="80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</row>
    <row r="184" spans="1:39" s="9" customFormat="1" ht="12.75">
      <c r="A184" s="14"/>
      <c r="B184" s="11"/>
      <c r="C184" s="80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</row>
    <row r="185" spans="1:39" s="9" customFormat="1" ht="12.75">
      <c r="A185" s="14"/>
      <c r="B185" s="11"/>
      <c r="C185" s="80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</row>
    <row r="186" spans="1:39" s="9" customFormat="1" ht="12.75">
      <c r="A186" s="14"/>
      <c r="B186" s="11"/>
      <c r="C186" s="80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</row>
    <row r="187" spans="1:39" s="9" customFormat="1" ht="12.75">
      <c r="A187" s="14"/>
      <c r="B187" s="11"/>
      <c r="C187" s="80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</row>
    <row r="188" spans="1:39" s="9" customFormat="1" ht="12.75">
      <c r="A188" s="14"/>
      <c r="B188" s="11"/>
      <c r="C188" s="80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</row>
    <row r="189" spans="1:39" s="9" customFormat="1" ht="12.75">
      <c r="A189" s="14"/>
      <c r="B189" s="11"/>
      <c r="C189" s="80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</row>
    <row r="190" spans="1:39" s="9" customFormat="1" ht="12.75">
      <c r="A190" s="14"/>
      <c r="B190" s="11"/>
      <c r="C190" s="80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</row>
    <row r="191" spans="1:39" s="9" customFormat="1" ht="12.75">
      <c r="A191" s="14"/>
      <c r="B191" s="11"/>
      <c r="C191" s="80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</row>
    <row r="192" spans="1:39" s="9" customFormat="1" ht="12.75">
      <c r="A192" s="14"/>
      <c r="B192" s="11"/>
      <c r="C192" s="80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</row>
    <row r="193" spans="1:39" s="9" customFormat="1" ht="12.75">
      <c r="A193" s="14"/>
      <c r="B193" s="11"/>
      <c r="C193" s="80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</row>
    <row r="194" spans="1:39" s="9" customFormat="1" ht="12.75">
      <c r="A194" s="14"/>
      <c r="B194" s="11"/>
      <c r="C194" s="80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</row>
    <row r="195" spans="1:39" s="9" customFormat="1" ht="12.75">
      <c r="A195" s="14"/>
      <c r="B195" s="11"/>
      <c r="C195" s="80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</row>
    <row r="196" spans="1:39" s="9" customFormat="1" ht="12.75">
      <c r="A196" s="14"/>
      <c r="B196" s="11"/>
      <c r="C196" s="80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</row>
    <row r="197" spans="1:39" s="9" customFormat="1" ht="12.75">
      <c r="A197" s="14"/>
      <c r="B197" s="11"/>
      <c r="C197" s="80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</row>
    <row r="198" spans="1:39" s="9" customFormat="1" ht="12.75">
      <c r="A198" s="14"/>
      <c r="B198" s="11"/>
      <c r="C198" s="80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</row>
    <row r="199" spans="1:39" s="9" customFormat="1" ht="12.75">
      <c r="A199" s="14"/>
      <c r="B199" s="11"/>
      <c r="C199" s="80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</row>
    <row r="200" spans="1:39" s="9" customFormat="1" ht="12.75">
      <c r="A200" s="14"/>
      <c r="B200" s="11"/>
      <c r="C200" s="80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</row>
    <row r="201" spans="1:39" s="9" customFormat="1" ht="12.75">
      <c r="A201" s="14"/>
      <c r="B201" s="11"/>
      <c r="C201" s="80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</row>
    <row r="202" spans="1:39" s="9" customFormat="1" ht="12.75">
      <c r="A202" s="14"/>
      <c r="B202" s="11"/>
      <c r="C202" s="80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</row>
    <row r="203" spans="1:39" s="9" customFormat="1" ht="12.75">
      <c r="A203" s="14"/>
      <c r="B203" s="11"/>
      <c r="C203" s="80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</row>
    <row r="204" spans="1:39" s="9" customFormat="1" ht="12.75">
      <c r="A204" s="14"/>
      <c r="B204" s="11"/>
      <c r="C204" s="80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</row>
    <row r="205" spans="1:39" s="9" customFormat="1" ht="12.75">
      <c r="A205" s="14"/>
      <c r="B205" s="11"/>
      <c r="C205" s="80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</row>
    <row r="206" spans="1:39" s="9" customFormat="1" ht="12.75">
      <c r="A206" s="14"/>
      <c r="B206" s="11"/>
      <c r="C206" s="80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</row>
    <row r="207" spans="1:39" s="9" customFormat="1" ht="12.75">
      <c r="A207" s="14"/>
      <c r="B207" s="11"/>
      <c r="C207" s="80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</row>
    <row r="208" spans="1:39" s="9" customFormat="1" ht="12.75">
      <c r="A208" s="14"/>
      <c r="B208" s="11"/>
      <c r="C208" s="80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</row>
    <row r="209" spans="1:39" s="9" customFormat="1" ht="12.75">
      <c r="A209" s="14"/>
      <c r="B209" s="11"/>
      <c r="C209" s="80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</row>
    <row r="210" spans="1:39" s="9" customFormat="1" ht="12.75">
      <c r="A210" s="14"/>
      <c r="B210" s="11"/>
      <c r="C210" s="80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</row>
    <row r="211" spans="1:39" s="9" customFormat="1" ht="12.75">
      <c r="A211" s="14"/>
      <c r="B211" s="11"/>
      <c r="C211" s="80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</row>
    <row r="212" spans="1:39" s="9" customFormat="1" ht="12.75">
      <c r="A212" s="14"/>
      <c r="B212" s="11"/>
      <c r="C212" s="80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</row>
    <row r="213" spans="1:39" s="9" customFormat="1" ht="12.75">
      <c r="A213" s="14"/>
      <c r="B213" s="11"/>
      <c r="C213" s="80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</row>
    <row r="214" spans="1:39" s="9" customFormat="1" ht="12.75">
      <c r="A214" s="14"/>
      <c r="B214" s="11"/>
      <c r="C214" s="80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</row>
    <row r="215" spans="1:39" s="9" customFormat="1" ht="12.75">
      <c r="A215" s="14"/>
      <c r="B215" s="11"/>
      <c r="C215" s="80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</row>
    <row r="216" spans="1:39" s="9" customFormat="1" ht="12.75">
      <c r="A216" s="14"/>
      <c r="B216" s="11"/>
      <c r="C216" s="80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</row>
    <row r="217" spans="1:39" s="9" customFormat="1" ht="12.75">
      <c r="A217" s="14"/>
      <c r="B217" s="11"/>
      <c r="C217" s="80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</row>
    <row r="218" spans="1:39" s="9" customFormat="1" ht="12.75">
      <c r="A218" s="14"/>
      <c r="B218" s="11"/>
      <c r="C218" s="80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</row>
    <row r="219" spans="1:39" s="9" customFormat="1" ht="12.75">
      <c r="A219" s="14"/>
      <c r="B219" s="11"/>
      <c r="C219" s="80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</row>
    <row r="220" spans="1:39" s="9" customFormat="1" ht="12.75">
      <c r="A220" s="14"/>
      <c r="B220" s="11"/>
      <c r="C220" s="80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</row>
    <row r="221" spans="1:39" s="9" customFormat="1" ht="12.75">
      <c r="A221" s="14"/>
      <c r="B221" s="11"/>
      <c r="C221" s="80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</row>
    <row r="222" spans="1:39" s="9" customFormat="1" ht="12.75">
      <c r="A222" s="14"/>
      <c r="B222" s="11"/>
      <c r="C222" s="80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</row>
    <row r="223" spans="1:39" s="9" customFormat="1" ht="12.75">
      <c r="A223" s="14"/>
      <c r="B223" s="11"/>
      <c r="C223" s="80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</row>
    <row r="224" spans="1:39" s="9" customFormat="1" ht="12.75">
      <c r="A224" s="14"/>
      <c r="B224" s="11"/>
      <c r="C224" s="80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</row>
    <row r="225" spans="1:39" s="9" customFormat="1" ht="12.75">
      <c r="A225" s="14"/>
      <c r="B225" s="11"/>
      <c r="C225" s="80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</row>
    <row r="226" spans="1:39" s="9" customFormat="1" ht="12.75">
      <c r="A226" s="14"/>
      <c r="B226" s="11"/>
      <c r="C226" s="80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</row>
    <row r="227" spans="1:39" s="9" customFormat="1" ht="12.75">
      <c r="A227" s="14"/>
      <c r="B227" s="11"/>
      <c r="C227" s="80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</row>
    <row r="228" spans="1:39" s="9" customFormat="1" ht="12.75">
      <c r="A228" s="14"/>
      <c r="B228" s="11"/>
      <c r="C228" s="80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</row>
    <row r="229" spans="1:39" s="9" customFormat="1" ht="12.75">
      <c r="A229" s="14"/>
      <c r="B229" s="11"/>
      <c r="C229" s="80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</row>
    <row r="230" spans="1:39" s="9" customFormat="1" ht="12.75">
      <c r="A230" s="14"/>
      <c r="B230" s="11"/>
      <c r="C230" s="80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</row>
    <row r="231" spans="1:39" s="9" customFormat="1" ht="12.75">
      <c r="A231" s="14"/>
      <c r="B231" s="11"/>
      <c r="C231" s="80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</row>
    <row r="232" spans="1:39" s="9" customFormat="1" ht="12.75">
      <c r="A232" s="14"/>
      <c r="B232" s="11"/>
      <c r="C232" s="80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</row>
    <row r="233" spans="1:39" s="9" customFormat="1" ht="12.75">
      <c r="A233" s="14"/>
      <c r="B233" s="11"/>
      <c r="C233" s="80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</row>
    <row r="234" spans="1:39" s="9" customFormat="1" ht="12.75">
      <c r="A234" s="14"/>
      <c r="B234" s="11"/>
      <c r="C234" s="80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</row>
    <row r="235" spans="1:39" s="9" customFormat="1" ht="12.75">
      <c r="A235" s="14"/>
      <c r="B235" s="11"/>
      <c r="C235" s="80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</row>
    <row r="236" spans="1:39" s="9" customFormat="1" ht="12.75">
      <c r="A236" s="14"/>
      <c r="B236" s="11"/>
      <c r="C236" s="80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</row>
    <row r="237" spans="1:39" s="9" customFormat="1" ht="12.75">
      <c r="A237" s="14"/>
      <c r="B237" s="11"/>
      <c r="C237" s="80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</row>
    <row r="238" spans="1:39" s="9" customFormat="1" ht="12.75">
      <c r="A238" s="14"/>
      <c r="B238" s="11"/>
      <c r="C238" s="80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</row>
    <row r="239" spans="1:39" s="9" customFormat="1" ht="12.75">
      <c r="A239" s="14"/>
      <c r="B239" s="11"/>
      <c r="C239" s="80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</row>
    <row r="240" spans="1:39" s="9" customFormat="1" ht="12.75">
      <c r="A240" s="14"/>
      <c r="B240" s="11"/>
      <c r="C240" s="80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</row>
    <row r="241" spans="1:39" s="9" customFormat="1" ht="12.75">
      <c r="A241" s="14"/>
      <c r="B241" s="11"/>
      <c r="C241" s="80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</row>
    <row r="242" spans="1:39" s="9" customFormat="1" ht="12.75">
      <c r="A242" s="14"/>
      <c r="B242" s="11"/>
      <c r="C242" s="80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</row>
    <row r="243" spans="1:39" s="9" customFormat="1" ht="12.75">
      <c r="A243" s="14"/>
      <c r="B243" s="11"/>
      <c r="C243" s="80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</row>
    <row r="244" spans="1:39" s="9" customFormat="1" ht="12.75">
      <c r="A244" s="14"/>
      <c r="B244" s="11"/>
      <c r="C244" s="80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</row>
    <row r="245" spans="1:39" s="9" customFormat="1" ht="12.75">
      <c r="A245" s="14"/>
      <c r="B245" s="11"/>
      <c r="C245" s="80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</row>
    <row r="246" spans="1:39" s="9" customFormat="1" ht="12.75">
      <c r="A246" s="14"/>
      <c r="B246" s="11"/>
      <c r="C246" s="80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</row>
    <row r="247" spans="1:39" s="9" customFormat="1" ht="12.75">
      <c r="A247" s="14"/>
      <c r="B247" s="11"/>
      <c r="C247" s="80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</row>
    <row r="248" spans="1:39" s="9" customFormat="1" ht="12.75">
      <c r="A248" s="14"/>
      <c r="B248" s="11"/>
      <c r="C248" s="80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</row>
    <row r="249" spans="1:39" s="9" customFormat="1" ht="12.75">
      <c r="A249" s="14"/>
      <c r="B249" s="11"/>
      <c r="C249" s="80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</row>
    <row r="250" spans="1:39" s="9" customFormat="1" ht="12.75">
      <c r="A250" s="14"/>
      <c r="B250" s="11"/>
      <c r="C250" s="80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</row>
    <row r="251" spans="1:39" s="9" customFormat="1" ht="12.75">
      <c r="A251" s="14"/>
      <c r="B251" s="11"/>
      <c r="C251" s="80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</row>
    <row r="252" spans="1:39" s="9" customFormat="1" ht="12.75">
      <c r="A252" s="14"/>
      <c r="B252" s="11"/>
      <c r="C252" s="80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</row>
    <row r="253" spans="1:39" s="9" customFormat="1" ht="12.75">
      <c r="A253" s="14"/>
      <c r="B253" s="11"/>
      <c r="C253" s="80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</row>
    <row r="254" spans="1:39" s="9" customFormat="1" ht="12.75">
      <c r="A254" s="14"/>
      <c r="B254" s="11"/>
      <c r="C254" s="80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</row>
    <row r="255" spans="1:39" s="9" customFormat="1" ht="12.75">
      <c r="A255" s="14"/>
      <c r="B255" s="11"/>
      <c r="C255" s="80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</row>
    <row r="256" spans="1:39" s="9" customFormat="1" ht="12.75">
      <c r="A256" s="14"/>
      <c r="B256" s="11"/>
      <c r="C256" s="80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</row>
    <row r="257" spans="1:39" s="9" customFormat="1" ht="12.75">
      <c r="A257" s="14"/>
      <c r="B257" s="11"/>
      <c r="C257" s="80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</row>
    <row r="258" spans="1:39" s="9" customFormat="1" ht="12.75">
      <c r="A258" s="14"/>
      <c r="B258" s="11"/>
      <c r="C258" s="80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</row>
    <row r="259" spans="1:39" s="9" customFormat="1" ht="12.75">
      <c r="A259" s="14"/>
      <c r="B259" s="11"/>
      <c r="C259" s="80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</row>
    <row r="260" spans="1:39" s="9" customFormat="1" ht="12.75">
      <c r="A260" s="14"/>
      <c r="B260" s="11"/>
      <c r="C260" s="80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</row>
    <row r="261" spans="1:39" s="9" customFormat="1" ht="12.75">
      <c r="A261" s="14"/>
      <c r="B261" s="11"/>
      <c r="C261" s="80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</row>
    <row r="262" spans="1:39" s="9" customFormat="1" ht="12.75">
      <c r="A262" s="14"/>
      <c r="B262" s="11"/>
      <c r="C262" s="80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</row>
    <row r="263" spans="1:39" s="9" customFormat="1" ht="12.75">
      <c r="A263" s="14"/>
      <c r="B263" s="11"/>
      <c r="C263" s="80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</row>
    <row r="264" spans="1:39" s="9" customFormat="1" ht="12.75">
      <c r="A264" s="14"/>
      <c r="B264" s="11"/>
      <c r="C264" s="80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</row>
    <row r="265" spans="1:39" s="9" customFormat="1" ht="12.75">
      <c r="A265" s="14"/>
      <c r="B265" s="11"/>
      <c r="C265" s="80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</row>
    <row r="266" spans="1:39" s="9" customFormat="1" ht="12.75">
      <c r="A266" s="14"/>
      <c r="B266" s="11"/>
      <c r="C266" s="80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</row>
    <row r="267" spans="1:39" s="9" customFormat="1" ht="12.75">
      <c r="A267" s="14"/>
      <c r="B267" s="11"/>
      <c r="C267" s="80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</row>
    <row r="268" spans="1:39" s="9" customFormat="1" ht="12.75">
      <c r="A268" s="14"/>
      <c r="B268" s="11"/>
      <c r="C268" s="80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</row>
    <row r="269" spans="1:39" s="9" customFormat="1" ht="12.75">
      <c r="A269" s="14"/>
      <c r="B269" s="11"/>
      <c r="C269" s="80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</row>
    <row r="270" spans="1:39" s="9" customFormat="1" ht="12.75">
      <c r="A270" s="14"/>
      <c r="B270" s="11"/>
      <c r="C270" s="80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</row>
    <row r="271" spans="1:39" s="9" customFormat="1" ht="12.75">
      <c r="A271" s="14"/>
      <c r="B271" s="11"/>
      <c r="C271" s="80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</row>
    <row r="272" spans="1:39" s="9" customFormat="1" ht="12.75">
      <c r="A272" s="14"/>
      <c r="B272" s="11"/>
      <c r="C272" s="80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</row>
    <row r="273" spans="1:39" s="9" customFormat="1" ht="12.75">
      <c r="A273" s="14"/>
      <c r="B273" s="11"/>
      <c r="C273" s="80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</row>
    <row r="274" spans="1:39" s="9" customFormat="1" ht="12.75">
      <c r="A274" s="14"/>
      <c r="B274" s="11"/>
      <c r="C274" s="80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</row>
    <row r="275" spans="1:39" s="9" customFormat="1" ht="12.75">
      <c r="A275" s="14"/>
      <c r="B275" s="11"/>
      <c r="C275" s="80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</row>
    <row r="276" spans="1:39" s="9" customFormat="1" ht="12.75">
      <c r="A276" s="14"/>
      <c r="B276" s="11"/>
      <c r="C276" s="80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</row>
    <row r="277" spans="1:39" s="9" customFormat="1" ht="12.75">
      <c r="A277" s="14"/>
      <c r="B277" s="11"/>
      <c r="C277" s="80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</row>
    <row r="278" spans="1:39" s="9" customFormat="1" ht="12.75">
      <c r="A278" s="14"/>
      <c r="B278" s="11"/>
      <c r="C278" s="80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</row>
    <row r="279" spans="1:39" s="9" customFormat="1" ht="12.75">
      <c r="A279" s="14"/>
      <c r="B279" s="11"/>
      <c r="C279" s="80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</row>
    <row r="280" spans="1:39" s="9" customFormat="1" ht="12.75">
      <c r="A280" s="14"/>
      <c r="B280" s="11"/>
      <c r="C280" s="80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</row>
    <row r="281" spans="1:39" s="9" customFormat="1" ht="12.75">
      <c r="A281" s="14"/>
      <c r="B281" s="11"/>
      <c r="C281" s="80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</row>
    <row r="282" spans="1:39" s="9" customFormat="1" ht="12.75">
      <c r="A282" s="14"/>
      <c r="B282" s="11"/>
      <c r="C282" s="80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</row>
    <row r="283" spans="1:39" s="9" customFormat="1" ht="12.75">
      <c r="A283" s="14"/>
      <c r="B283" s="11"/>
      <c r="C283" s="80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</row>
    <row r="284" spans="1:39" s="9" customFormat="1" ht="12.75">
      <c r="A284" s="14"/>
      <c r="B284" s="11"/>
      <c r="C284" s="80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</row>
    <row r="285" spans="1:39" s="9" customFormat="1" ht="12.75">
      <c r="A285" s="14"/>
      <c r="B285" s="11"/>
      <c r="C285" s="80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</row>
    <row r="286" spans="1:39" s="9" customFormat="1" ht="12.75">
      <c r="A286" s="14"/>
      <c r="B286" s="11"/>
      <c r="C286" s="80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</row>
    <row r="287" spans="1:39" s="9" customFormat="1" ht="12.75">
      <c r="A287" s="14"/>
      <c r="B287" s="11"/>
      <c r="C287" s="80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</row>
    <row r="288" spans="1:39" s="9" customFormat="1" ht="12.75">
      <c r="A288" s="14"/>
      <c r="B288" s="11"/>
      <c r="C288" s="80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</row>
    <row r="289" spans="1:39" s="9" customFormat="1" ht="12.75">
      <c r="A289" s="14"/>
      <c r="B289" s="11"/>
      <c r="C289" s="80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</row>
    <row r="290" spans="1:39" s="9" customFormat="1" ht="12.75">
      <c r="A290" s="14"/>
      <c r="B290" s="11"/>
      <c r="C290" s="80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</row>
    <row r="291" spans="1:39" s="9" customFormat="1" ht="12.75">
      <c r="A291" s="14"/>
      <c r="B291" s="11"/>
      <c r="C291" s="80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</row>
    <row r="292" spans="1:39" s="9" customFormat="1" ht="12.75">
      <c r="A292" s="14"/>
      <c r="B292" s="11"/>
      <c r="C292" s="80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</row>
    <row r="293" spans="1:39" s="9" customFormat="1" ht="12.75">
      <c r="A293" s="14"/>
      <c r="B293" s="11"/>
      <c r="C293" s="80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</row>
    <row r="294" spans="1:39" s="9" customFormat="1" ht="12.75">
      <c r="A294" s="14"/>
      <c r="B294" s="11"/>
      <c r="C294" s="80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</row>
    <row r="295" spans="1:39" s="9" customFormat="1" ht="12.75">
      <c r="A295" s="14"/>
      <c r="B295" s="11"/>
      <c r="C295" s="80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</row>
    <row r="296" spans="1:39" s="9" customFormat="1" ht="12.75">
      <c r="A296" s="14"/>
      <c r="B296" s="11"/>
      <c r="C296" s="80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</row>
    <row r="297" spans="1:39" s="9" customFormat="1" ht="12.75">
      <c r="A297" s="14"/>
      <c r="B297" s="11"/>
      <c r="C297" s="80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</row>
    <row r="298" spans="1:39" s="9" customFormat="1" ht="12.75">
      <c r="A298" s="14"/>
      <c r="B298" s="11"/>
      <c r="C298" s="80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</row>
    <row r="299" spans="1:39" s="9" customFormat="1" ht="12.75">
      <c r="A299" s="14"/>
      <c r="B299" s="11"/>
      <c r="C299" s="80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</row>
    <row r="300" spans="1:39" s="9" customFormat="1" ht="12.75">
      <c r="A300" s="14"/>
      <c r="B300" s="11"/>
      <c r="C300" s="80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</row>
    <row r="301" spans="1:39" s="9" customFormat="1" ht="12.75">
      <c r="A301" s="14"/>
      <c r="B301" s="11"/>
      <c r="C301" s="80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</row>
    <row r="302" spans="1:39" s="9" customFormat="1" ht="12.75">
      <c r="A302" s="14"/>
      <c r="B302" s="11"/>
      <c r="C302" s="80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</row>
    <row r="303" spans="1:39" s="9" customFormat="1" ht="12.75">
      <c r="A303" s="14"/>
      <c r="B303" s="11"/>
      <c r="C303" s="80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</row>
    <row r="304" spans="1:39" s="9" customFormat="1" ht="12.75">
      <c r="A304" s="14"/>
      <c r="B304" s="11"/>
      <c r="C304" s="80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</row>
    <row r="305" spans="1:39" s="9" customFormat="1" ht="12.75">
      <c r="A305" s="14"/>
      <c r="B305" s="11"/>
      <c r="C305" s="80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</row>
    <row r="306" spans="1:39" s="9" customFormat="1" ht="12.75">
      <c r="A306" s="14"/>
      <c r="B306" s="11"/>
      <c r="C306" s="80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</row>
    <row r="307" spans="1:39" s="9" customFormat="1" ht="12.75">
      <c r="A307" s="14"/>
      <c r="B307" s="11"/>
      <c r="C307" s="80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</row>
    <row r="308" spans="1:39" s="9" customFormat="1" ht="12.75">
      <c r="A308" s="14"/>
      <c r="B308" s="11"/>
      <c r="C308" s="80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</row>
    <row r="309" spans="1:39" s="9" customFormat="1" ht="12.75">
      <c r="A309" s="14"/>
      <c r="B309" s="11"/>
      <c r="C309" s="80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</row>
    <row r="310" spans="1:39" s="9" customFormat="1" ht="12.75">
      <c r="A310" s="14"/>
      <c r="B310" s="11"/>
      <c r="C310" s="80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</row>
    <row r="311" spans="1:39" s="9" customFormat="1" ht="12.75">
      <c r="A311" s="14"/>
      <c r="B311" s="11"/>
      <c r="C311" s="80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</row>
    <row r="312" spans="1:39" s="9" customFormat="1" ht="12.75">
      <c r="A312" s="14"/>
      <c r="B312" s="11"/>
      <c r="C312" s="80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</row>
    <row r="313" spans="1:39" s="9" customFormat="1" ht="12.75">
      <c r="A313" s="14"/>
      <c r="B313" s="11"/>
      <c r="C313" s="80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</row>
    <row r="314" spans="1:39" s="9" customFormat="1" ht="12.75">
      <c r="A314" s="14"/>
      <c r="B314" s="11"/>
      <c r="C314" s="80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</row>
    <row r="315" spans="1:39" s="9" customFormat="1" ht="12.75">
      <c r="A315" s="14"/>
      <c r="B315" s="11"/>
      <c r="C315" s="80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</row>
    <row r="316" spans="1:39" s="9" customFormat="1" ht="12.75">
      <c r="A316" s="14"/>
      <c r="B316" s="11"/>
      <c r="C316" s="80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</row>
    <row r="317" spans="1:39" s="9" customFormat="1" ht="12.75">
      <c r="A317" s="14"/>
      <c r="B317" s="11"/>
      <c r="C317" s="80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</row>
    <row r="318" spans="1:39" s="9" customFormat="1" ht="12.75">
      <c r="A318" s="14"/>
      <c r="B318" s="11"/>
      <c r="C318" s="80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</row>
    <row r="319" spans="1:39" s="9" customFormat="1" ht="12.75">
      <c r="A319" s="14"/>
      <c r="B319" s="11"/>
      <c r="C319" s="80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</row>
    <row r="320" spans="1:39" s="9" customFormat="1" ht="12.75">
      <c r="A320" s="14"/>
      <c r="B320" s="11"/>
      <c r="C320" s="80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</row>
    <row r="321" spans="1:39" s="9" customFormat="1" ht="12.75">
      <c r="A321" s="14"/>
      <c r="B321" s="11"/>
      <c r="C321" s="80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</row>
    <row r="322" spans="1:39" s="9" customFormat="1" ht="12.75">
      <c r="A322" s="14"/>
      <c r="B322" s="11"/>
      <c r="C322" s="80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</row>
    <row r="323" spans="1:39" s="9" customFormat="1" ht="12.75">
      <c r="A323" s="14"/>
      <c r="B323" s="11"/>
      <c r="C323" s="80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</row>
    <row r="324" spans="1:39" s="9" customFormat="1" ht="12.75">
      <c r="A324" s="14"/>
      <c r="B324" s="11"/>
      <c r="C324" s="80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</row>
    <row r="325" spans="1:39" s="9" customFormat="1" ht="12.75">
      <c r="A325" s="14"/>
      <c r="B325" s="11"/>
      <c r="C325" s="80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</row>
    <row r="326" spans="1:39" s="9" customFormat="1" ht="12.75">
      <c r="A326" s="14"/>
      <c r="B326" s="11"/>
      <c r="C326" s="80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</row>
    <row r="327" spans="1:39" s="9" customFormat="1" ht="12.75">
      <c r="A327" s="14"/>
      <c r="B327" s="11"/>
      <c r="C327" s="80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</row>
    <row r="328" spans="1:39" s="9" customFormat="1" ht="12.75">
      <c r="A328" s="14"/>
      <c r="B328" s="11"/>
      <c r="C328" s="80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</row>
    <row r="329" spans="2:39" s="9" customFormat="1" ht="12.75">
      <c r="B329" s="11"/>
      <c r="C329" s="80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</row>
    <row r="330" spans="2:39" s="9" customFormat="1" ht="12.75">
      <c r="B330" s="11"/>
      <c r="C330" s="80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</row>
    <row r="331" spans="2:39" s="9" customFormat="1" ht="12.75">
      <c r="B331" s="11"/>
      <c r="C331" s="80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</row>
    <row r="332" spans="2:39" s="9" customFormat="1" ht="12.75">
      <c r="B332" s="11"/>
      <c r="C332" s="80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</row>
    <row r="333" spans="2:39" s="9" customFormat="1" ht="12.75">
      <c r="B333" s="11"/>
      <c r="C333" s="80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</row>
    <row r="334" spans="2:39" s="9" customFormat="1" ht="12.75">
      <c r="B334" s="11"/>
      <c r="C334" s="80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</row>
    <row r="335" spans="2:39" s="9" customFormat="1" ht="12.75">
      <c r="B335" s="11"/>
      <c r="C335" s="80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</row>
    <row r="336" spans="2:39" s="9" customFormat="1" ht="12.75">
      <c r="B336" s="11"/>
      <c r="C336" s="80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</row>
    <row r="337" spans="2:39" s="9" customFormat="1" ht="12.75">
      <c r="B337" s="11"/>
      <c r="C337" s="80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</row>
    <row r="338" spans="2:39" s="9" customFormat="1" ht="12.75">
      <c r="B338" s="11"/>
      <c r="C338" s="80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</row>
    <row r="339" spans="2:39" s="9" customFormat="1" ht="12.75">
      <c r="B339" s="11"/>
      <c r="C339" s="80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</row>
    <row r="340" spans="2:39" s="9" customFormat="1" ht="12.75">
      <c r="B340" s="11"/>
      <c r="C340" s="80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</row>
    <row r="341" spans="2:39" s="9" customFormat="1" ht="12.75">
      <c r="B341" s="11"/>
      <c r="C341" s="80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</row>
    <row r="342" spans="2:39" s="9" customFormat="1" ht="12.75">
      <c r="B342" s="11"/>
      <c r="C342" s="80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</row>
    <row r="343" spans="2:39" s="9" customFormat="1" ht="12.75">
      <c r="B343" s="11"/>
      <c r="C343" s="80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</row>
    <row r="344" spans="2:39" s="9" customFormat="1" ht="12.75">
      <c r="B344" s="11"/>
      <c r="C344" s="80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</row>
    <row r="345" spans="2:39" s="9" customFormat="1" ht="12.75">
      <c r="B345" s="11"/>
      <c r="C345" s="80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</row>
    <row r="346" spans="2:39" s="9" customFormat="1" ht="12.75">
      <c r="B346" s="11"/>
      <c r="C346" s="80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</row>
    <row r="347" spans="2:39" s="9" customFormat="1" ht="12.75">
      <c r="B347" s="11"/>
      <c r="C347" s="80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</row>
    <row r="348" spans="2:39" s="9" customFormat="1" ht="12.75">
      <c r="B348" s="11"/>
      <c r="C348" s="80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</row>
    <row r="349" spans="2:39" s="9" customFormat="1" ht="12.75">
      <c r="B349" s="11"/>
      <c r="C349" s="80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</row>
    <row r="350" spans="2:39" s="9" customFormat="1" ht="12.75">
      <c r="B350" s="11"/>
      <c r="C350" s="80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</row>
    <row r="351" spans="2:39" s="9" customFormat="1" ht="12.75">
      <c r="B351" s="11"/>
      <c r="C351" s="80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</row>
    <row r="352" spans="2:39" s="9" customFormat="1" ht="12.75">
      <c r="B352" s="11"/>
      <c r="C352" s="80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</row>
    <row r="353" spans="2:39" s="9" customFormat="1" ht="12.75">
      <c r="B353" s="11"/>
      <c r="C353" s="80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</row>
    <row r="354" spans="2:39" s="9" customFormat="1" ht="12.75">
      <c r="B354" s="11"/>
      <c r="C354" s="80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</row>
    <row r="355" spans="2:39" s="9" customFormat="1" ht="12.75">
      <c r="B355" s="11"/>
      <c r="C355" s="80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</row>
    <row r="356" spans="2:39" s="9" customFormat="1" ht="12.75">
      <c r="B356" s="11"/>
      <c r="C356" s="80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</row>
    <row r="357" spans="2:39" s="9" customFormat="1" ht="12.75">
      <c r="B357" s="11"/>
      <c r="C357" s="80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</row>
    <row r="358" spans="2:39" s="9" customFormat="1" ht="12.75">
      <c r="B358" s="11"/>
      <c r="C358" s="80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</row>
    <row r="359" spans="2:39" s="9" customFormat="1" ht="12.75">
      <c r="B359" s="11"/>
      <c r="C359" s="80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</row>
    <row r="360" spans="2:39" s="9" customFormat="1" ht="12.75">
      <c r="B360" s="11"/>
      <c r="C360" s="80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</row>
    <row r="361" spans="2:39" s="9" customFormat="1" ht="12.75">
      <c r="B361" s="11"/>
      <c r="C361" s="80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</row>
    <row r="362" spans="2:39" s="9" customFormat="1" ht="12.75">
      <c r="B362" s="11"/>
      <c r="C362" s="80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</row>
    <row r="363" spans="2:39" s="9" customFormat="1" ht="12.75">
      <c r="B363" s="11"/>
      <c r="C363" s="80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</row>
    <row r="364" spans="2:39" s="9" customFormat="1" ht="12.75">
      <c r="B364" s="11"/>
      <c r="C364" s="80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</row>
    <row r="365" spans="2:39" s="9" customFormat="1" ht="12.75">
      <c r="B365" s="11"/>
      <c r="C365" s="80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</row>
    <row r="366" spans="2:39" s="9" customFormat="1" ht="12.75">
      <c r="B366" s="11"/>
      <c r="C366" s="80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</row>
    <row r="367" spans="2:39" s="9" customFormat="1" ht="12.75">
      <c r="B367" s="11"/>
      <c r="C367" s="80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</row>
    <row r="368" spans="2:39" s="9" customFormat="1" ht="12.75">
      <c r="B368" s="11"/>
      <c r="C368" s="80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</row>
    <row r="369" spans="2:39" s="9" customFormat="1" ht="12.75">
      <c r="B369" s="11"/>
      <c r="C369" s="80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</row>
    <row r="370" spans="2:39" s="9" customFormat="1" ht="12.75">
      <c r="B370" s="11"/>
      <c r="C370" s="80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</row>
    <row r="371" spans="2:39" s="9" customFormat="1" ht="12.75">
      <c r="B371" s="11"/>
      <c r="C371" s="80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</row>
    <row r="372" spans="2:39" s="9" customFormat="1" ht="12.75">
      <c r="B372" s="11"/>
      <c r="C372" s="80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</row>
    <row r="373" spans="2:39" s="9" customFormat="1" ht="12.75">
      <c r="B373" s="11"/>
      <c r="C373" s="80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</row>
    <row r="374" spans="2:39" s="9" customFormat="1" ht="12.75">
      <c r="B374" s="11"/>
      <c r="C374" s="80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</row>
    <row r="375" spans="2:39" s="9" customFormat="1" ht="12.75">
      <c r="B375" s="11"/>
      <c r="C375" s="80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</row>
    <row r="376" spans="2:39" s="9" customFormat="1" ht="12.75">
      <c r="B376" s="11"/>
      <c r="C376" s="80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</row>
    <row r="377" spans="2:39" s="9" customFormat="1" ht="12.75">
      <c r="B377" s="11"/>
      <c r="C377" s="80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</row>
    <row r="378" spans="2:39" s="9" customFormat="1" ht="12.75">
      <c r="B378" s="11"/>
      <c r="C378" s="80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</row>
    <row r="379" spans="2:39" s="9" customFormat="1" ht="12.75">
      <c r="B379" s="11"/>
      <c r="C379" s="80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</row>
    <row r="380" spans="2:39" s="9" customFormat="1" ht="12.75">
      <c r="B380" s="11"/>
      <c r="C380" s="80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</row>
    <row r="381" spans="2:39" s="9" customFormat="1" ht="12.75">
      <c r="B381" s="11"/>
      <c r="C381" s="80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</row>
    <row r="382" spans="2:39" s="9" customFormat="1" ht="12.75">
      <c r="B382" s="11"/>
      <c r="C382" s="80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</row>
    <row r="383" spans="2:39" s="9" customFormat="1" ht="12.75">
      <c r="B383" s="11"/>
      <c r="C383" s="80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</row>
    <row r="384" spans="2:39" s="9" customFormat="1" ht="12.75">
      <c r="B384" s="11"/>
      <c r="C384" s="80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</row>
    <row r="385" spans="2:39" s="9" customFormat="1" ht="12.75">
      <c r="B385" s="11"/>
      <c r="C385" s="80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</row>
    <row r="386" spans="2:39" s="9" customFormat="1" ht="12.75">
      <c r="B386" s="11"/>
      <c r="C386" s="80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</row>
    <row r="387" spans="2:39" s="9" customFormat="1" ht="12.75">
      <c r="B387" s="11"/>
      <c r="C387" s="80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</row>
    <row r="388" spans="2:39" s="9" customFormat="1" ht="12.75">
      <c r="B388" s="11"/>
      <c r="C388" s="80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</row>
    <row r="389" spans="2:39" s="9" customFormat="1" ht="12.75">
      <c r="B389" s="11"/>
      <c r="C389" s="80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</row>
    <row r="390" spans="2:39" s="9" customFormat="1" ht="12.75">
      <c r="B390" s="11"/>
      <c r="C390" s="80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</row>
    <row r="391" spans="2:39" s="9" customFormat="1" ht="12.75">
      <c r="B391" s="11"/>
      <c r="C391" s="80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</row>
    <row r="392" spans="2:39" s="9" customFormat="1" ht="12.75">
      <c r="B392" s="11"/>
      <c r="C392" s="80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</row>
    <row r="393" spans="2:39" s="9" customFormat="1" ht="12.75">
      <c r="B393" s="11"/>
      <c r="C393" s="80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</row>
    <row r="394" spans="2:39" s="9" customFormat="1" ht="12.75">
      <c r="B394" s="11"/>
      <c r="C394" s="80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</row>
    <row r="395" spans="2:39" s="9" customFormat="1" ht="12.75">
      <c r="B395" s="11"/>
      <c r="C395" s="80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</row>
    <row r="396" spans="2:39" s="9" customFormat="1" ht="12.75">
      <c r="B396" s="11"/>
      <c r="C396" s="80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</row>
    <row r="397" spans="2:39" s="9" customFormat="1" ht="12.75">
      <c r="B397" s="11"/>
      <c r="C397" s="80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</row>
    <row r="398" spans="2:39" s="9" customFormat="1" ht="12.75">
      <c r="B398" s="11"/>
      <c r="C398" s="80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</row>
    <row r="399" spans="2:39" s="9" customFormat="1" ht="12.75">
      <c r="B399" s="11"/>
      <c r="C399" s="80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</row>
    <row r="400" spans="2:39" s="9" customFormat="1" ht="12.75">
      <c r="B400" s="11"/>
      <c r="C400" s="80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</row>
    <row r="401" spans="2:39" s="9" customFormat="1" ht="12.75">
      <c r="B401" s="11"/>
      <c r="C401" s="80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</row>
    <row r="402" spans="2:39" s="9" customFormat="1" ht="12.75">
      <c r="B402" s="11"/>
      <c r="C402" s="80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</row>
    <row r="403" spans="2:39" s="9" customFormat="1" ht="12.75">
      <c r="B403" s="11"/>
      <c r="C403" s="80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</row>
    <row r="404" spans="2:39" s="9" customFormat="1" ht="12.75">
      <c r="B404" s="11"/>
      <c r="C404" s="80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</row>
    <row r="405" spans="2:39" s="9" customFormat="1" ht="12.75">
      <c r="B405" s="11"/>
      <c r="C405" s="80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</row>
    <row r="406" spans="2:39" s="9" customFormat="1" ht="12.75">
      <c r="B406" s="11"/>
      <c r="C406" s="80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</row>
    <row r="407" spans="2:39" s="9" customFormat="1" ht="12.75">
      <c r="B407" s="11"/>
      <c r="C407" s="80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</row>
    <row r="408" spans="2:39" s="9" customFormat="1" ht="12.75">
      <c r="B408" s="11"/>
      <c r="C408" s="80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</row>
    <row r="409" spans="2:39" s="9" customFormat="1" ht="12.75">
      <c r="B409" s="11"/>
      <c r="C409" s="80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</row>
    <row r="410" spans="2:39" s="9" customFormat="1" ht="12.75">
      <c r="B410" s="11"/>
      <c r="C410" s="80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</row>
    <row r="411" spans="2:39" s="9" customFormat="1" ht="12.75">
      <c r="B411" s="11"/>
      <c r="C411" s="80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</row>
    <row r="412" spans="2:39" s="9" customFormat="1" ht="12.75">
      <c r="B412" s="11"/>
      <c r="C412" s="80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</row>
    <row r="413" spans="2:39" s="9" customFormat="1" ht="12.75">
      <c r="B413" s="11"/>
      <c r="C413" s="80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</row>
    <row r="414" spans="2:39" s="9" customFormat="1" ht="12.75">
      <c r="B414" s="11"/>
      <c r="C414" s="80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</row>
    <row r="415" spans="2:39" s="9" customFormat="1" ht="12.75">
      <c r="B415" s="11"/>
      <c r="C415" s="80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</row>
    <row r="416" spans="2:39" s="9" customFormat="1" ht="12.75">
      <c r="B416" s="11"/>
      <c r="C416" s="80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</row>
    <row r="417" spans="2:39" s="9" customFormat="1" ht="12.75">
      <c r="B417" s="11"/>
      <c r="C417" s="80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</row>
    <row r="418" spans="2:39" s="9" customFormat="1" ht="12.75">
      <c r="B418" s="11"/>
      <c r="C418" s="80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</row>
    <row r="419" spans="2:39" s="9" customFormat="1" ht="12.75">
      <c r="B419" s="11"/>
      <c r="C419" s="80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</row>
    <row r="420" spans="2:39" s="9" customFormat="1" ht="12.75">
      <c r="B420" s="11"/>
      <c r="C420" s="80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</row>
    <row r="421" spans="2:39" s="9" customFormat="1" ht="12.75">
      <c r="B421" s="11"/>
      <c r="C421" s="80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</row>
    <row r="422" spans="2:39" s="9" customFormat="1" ht="12.75">
      <c r="B422" s="11"/>
      <c r="C422" s="80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</row>
    <row r="423" spans="2:39" s="9" customFormat="1" ht="12.75">
      <c r="B423" s="11"/>
      <c r="C423" s="80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</row>
    <row r="424" spans="2:39" s="9" customFormat="1" ht="12.75">
      <c r="B424" s="11"/>
      <c r="C424" s="80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</row>
    <row r="425" spans="2:39" s="9" customFormat="1" ht="12.75">
      <c r="B425" s="11"/>
      <c r="C425" s="80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</row>
    <row r="426" spans="2:39" s="9" customFormat="1" ht="12.75">
      <c r="B426" s="11"/>
      <c r="C426" s="80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</row>
    <row r="427" spans="2:39" s="9" customFormat="1" ht="12.75">
      <c r="B427" s="11"/>
      <c r="C427" s="80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</row>
    <row r="428" spans="2:39" s="9" customFormat="1" ht="12.75">
      <c r="B428" s="11"/>
      <c r="C428" s="80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</row>
    <row r="429" spans="2:39" s="9" customFormat="1" ht="12.75">
      <c r="B429" s="11"/>
      <c r="C429" s="80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</row>
    <row r="430" spans="2:39" s="9" customFormat="1" ht="12.75">
      <c r="B430" s="11"/>
      <c r="C430" s="80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</row>
    <row r="431" spans="2:39" s="9" customFormat="1" ht="12.75">
      <c r="B431" s="11"/>
      <c r="C431" s="80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</row>
    <row r="432" spans="2:39" s="9" customFormat="1" ht="12.75">
      <c r="B432" s="11"/>
      <c r="C432" s="80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</row>
    <row r="433" spans="2:39" s="9" customFormat="1" ht="12.75">
      <c r="B433" s="11"/>
      <c r="C433" s="80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</row>
    <row r="434" spans="2:39" s="9" customFormat="1" ht="12.75">
      <c r="B434" s="11"/>
      <c r="C434" s="80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</row>
    <row r="435" spans="2:39" s="9" customFormat="1" ht="12.75">
      <c r="B435" s="11"/>
      <c r="C435" s="80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</row>
    <row r="436" spans="2:39" s="9" customFormat="1" ht="12.75">
      <c r="B436" s="11"/>
      <c r="C436" s="80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</row>
    <row r="437" spans="2:39" s="9" customFormat="1" ht="12.75">
      <c r="B437" s="11"/>
      <c r="C437" s="80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</row>
    <row r="438" spans="2:39" s="9" customFormat="1" ht="12.75">
      <c r="B438" s="11"/>
      <c r="C438" s="80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</row>
    <row r="439" spans="2:39" s="9" customFormat="1" ht="12.75">
      <c r="B439" s="11"/>
      <c r="C439" s="80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</row>
    <row r="440" spans="2:39" s="9" customFormat="1" ht="12.75">
      <c r="B440" s="11"/>
      <c r="C440" s="80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</row>
    <row r="441" spans="2:39" s="9" customFormat="1" ht="12.75">
      <c r="B441" s="11"/>
      <c r="C441" s="80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</row>
    <row r="442" spans="2:39" s="9" customFormat="1" ht="12.75">
      <c r="B442" s="11"/>
      <c r="C442" s="80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</row>
    <row r="443" spans="2:39" s="9" customFormat="1" ht="12.75">
      <c r="B443" s="11"/>
      <c r="C443" s="80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</row>
    <row r="444" spans="2:39" s="9" customFormat="1" ht="12.75">
      <c r="B444" s="11"/>
      <c r="C444" s="80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</row>
    <row r="445" spans="2:39" s="9" customFormat="1" ht="12.75">
      <c r="B445" s="11"/>
      <c r="C445" s="80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</row>
    <row r="446" spans="2:39" s="9" customFormat="1" ht="12.75">
      <c r="B446" s="11"/>
      <c r="C446" s="80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</row>
    <row r="447" spans="2:39" s="9" customFormat="1" ht="12.75">
      <c r="B447" s="11"/>
      <c r="C447" s="80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</row>
    <row r="448" spans="2:39" s="9" customFormat="1" ht="12.75">
      <c r="B448" s="11"/>
      <c r="C448" s="80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</row>
    <row r="449" spans="2:39" s="9" customFormat="1" ht="12.75">
      <c r="B449" s="11"/>
      <c r="C449" s="80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</row>
    <row r="450" spans="2:39" s="9" customFormat="1" ht="12.75">
      <c r="B450" s="11"/>
      <c r="C450" s="80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</row>
    <row r="451" spans="2:39" s="9" customFormat="1" ht="12.75">
      <c r="B451" s="11"/>
      <c r="C451" s="80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</row>
    <row r="452" spans="2:39" s="9" customFormat="1" ht="12.75">
      <c r="B452" s="11"/>
      <c r="C452" s="80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</row>
    <row r="453" spans="2:39" s="9" customFormat="1" ht="12.75">
      <c r="B453" s="11"/>
      <c r="C453" s="80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</row>
    <row r="454" spans="2:39" s="9" customFormat="1" ht="12.75">
      <c r="B454" s="11"/>
      <c r="C454" s="80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</row>
    <row r="455" spans="2:39" s="9" customFormat="1" ht="12.75">
      <c r="B455" s="11"/>
      <c r="C455" s="80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</row>
    <row r="456" spans="2:39" s="9" customFormat="1" ht="12.75">
      <c r="B456" s="11"/>
      <c r="C456" s="80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</row>
    <row r="457" spans="2:39" s="9" customFormat="1" ht="12.75">
      <c r="B457" s="11"/>
      <c r="C457" s="80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</row>
    <row r="458" spans="2:39" s="9" customFormat="1" ht="12.75">
      <c r="B458" s="11"/>
      <c r="C458" s="80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</row>
    <row r="459" spans="2:39" s="9" customFormat="1" ht="12.75">
      <c r="B459" s="11"/>
      <c r="C459" s="80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</row>
    <row r="460" spans="2:39" s="9" customFormat="1" ht="12.75">
      <c r="B460" s="11"/>
      <c r="C460" s="80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</row>
    <row r="461" spans="2:39" s="9" customFormat="1" ht="12.75">
      <c r="B461" s="11"/>
      <c r="C461" s="80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</row>
    <row r="462" spans="2:39" s="9" customFormat="1" ht="12.75">
      <c r="B462" s="11"/>
      <c r="C462" s="80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</row>
    <row r="463" spans="2:39" s="9" customFormat="1" ht="12.75">
      <c r="B463" s="11"/>
      <c r="C463" s="80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</row>
    <row r="464" spans="2:39" s="9" customFormat="1" ht="12.75">
      <c r="B464" s="11"/>
      <c r="C464" s="80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</row>
    <row r="465" spans="2:39" s="9" customFormat="1" ht="12.75">
      <c r="B465" s="11"/>
      <c r="C465" s="80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</row>
    <row r="466" spans="2:39" s="9" customFormat="1" ht="12.75">
      <c r="B466" s="11"/>
      <c r="C466" s="80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</row>
    <row r="467" spans="2:39" s="9" customFormat="1" ht="12.75">
      <c r="B467" s="11"/>
      <c r="C467" s="80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</row>
    <row r="468" spans="2:39" s="9" customFormat="1" ht="12.75">
      <c r="B468" s="11"/>
      <c r="C468" s="80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</row>
    <row r="469" spans="2:39" s="9" customFormat="1" ht="12.75">
      <c r="B469" s="11"/>
      <c r="C469" s="80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</row>
    <row r="470" spans="2:39" s="9" customFormat="1" ht="12.75">
      <c r="B470" s="11"/>
      <c r="C470" s="80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</row>
    <row r="471" spans="2:39" s="9" customFormat="1" ht="12.75">
      <c r="B471" s="11"/>
      <c r="C471" s="80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</row>
    <row r="472" spans="2:39" s="9" customFormat="1" ht="12.75">
      <c r="B472" s="11"/>
      <c r="C472" s="80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</row>
    <row r="473" spans="2:39" s="9" customFormat="1" ht="12.75">
      <c r="B473" s="11"/>
      <c r="C473" s="80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</row>
    <row r="474" spans="2:39" s="9" customFormat="1" ht="12.75">
      <c r="B474" s="11"/>
      <c r="C474" s="80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</row>
    <row r="475" spans="2:39" s="9" customFormat="1" ht="12.75">
      <c r="B475" s="11"/>
      <c r="C475" s="80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</row>
    <row r="476" spans="2:39" s="9" customFormat="1" ht="12.75">
      <c r="B476" s="11"/>
      <c r="C476" s="80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</row>
    <row r="477" spans="2:39" s="9" customFormat="1" ht="12.75">
      <c r="B477" s="11"/>
      <c r="C477" s="80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</row>
    <row r="478" spans="2:39" s="9" customFormat="1" ht="12.75">
      <c r="B478" s="11"/>
      <c r="C478" s="80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</row>
    <row r="479" spans="2:39" s="9" customFormat="1" ht="12.75">
      <c r="B479" s="11"/>
      <c r="C479" s="80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</row>
    <row r="480" spans="2:39" s="9" customFormat="1" ht="12.75">
      <c r="B480" s="11"/>
      <c r="C480" s="80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</row>
    <row r="481" spans="2:39" s="9" customFormat="1" ht="12.75">
      <c r="B481" s="11"/>
      <c r="C481" s="80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</row>
    <row r="482" spans="2:39" s="9" customFormat="1" ht="12.75">
      <c r="B482" s="11"/>
      <c r="C482" s="80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</row>
    <row r="483" spans="2:39" s="9" customFormat="1" ht="12.75">
      <c r="B483" s="11"/>
      <c r="C483" s="80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</row>
    <row r="484" spans="2:39" s="9" customFormat="1" ht="12.75">
      <c r="B484" s="11"/>
      <c r="C484" s="80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</row>
    <row r="485" spans="2:39" s="9" customFormat="1" ht="12.75">
      <c r="B485" s="11"/>
      <c r="C485" s="80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</row>
    <row r="486" spans="2:39" s="9" customFormat="1" ht="12.75">
      <c r="B486" s="11"/>
      <c r="C486" s="80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</row>
    <row r="487" spans="2:39" s="9" customFormat="1" ht="12.75">
      <c r="B487" s="11"/>
      <c r="C487" s="80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</row>
    <row r="488" spans="2:39" s="9" customFormat="1" ht="12.75">
      <c r="B488" s="11"/>
      <c r="C488" s="80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</row>
    <row r="489" spans="2:39" s="9" customFormat="1" ht="12.75">
      <c r="B489" s="11"/>
      <c r="C489" s="80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</row>
    <row r="490" spans="2:39" s="9" customFormat="1" ht="12.75">
      <c r="B490" s="11"/>
      <c r="C490" s="80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</row>
    <row r="491" spans="2:39" s="9" customFormat="1" ht="12.75">
      <c r="B491" s="11"/>
      <c r="C491" s="80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</row>
    <row r="492" spans="2:39" s="9" customFormat="1" ht="12.75">
      <c r="B492" s="11"/>
      <c r="C492" s="80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</row>
    <row r="493" spans="2:39" s="9" customFormat="1" ht="12.75">
      <c r="B493" s="11"/>
      <c r="C493" s="80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</row>
    <row r="494" spans="2:39" s="9" customFormat="1" ht="12.75">
      <c r="B494" s="11"/>
      <c r="C494" s="80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</row>
    <row r="495" spans="2:39" s="9" customFormat="1" ht="12.75">
      <c r="B495" s="11"/>
      <c r="C495" s="80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</row>
    <row r="496" spans="2:39" s="9" customFormat="1" ht="12.75">
      <c r="B496" s="11"/>
      <c r="C496" s="80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</row>
    <row r="497" spans="2:39" s="9" customFormat="1" ht="12.75">
      <c r="B497" s="11"/>
      <c r="C497" s="80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</row>
    <row r="498" spans="2:39" s="9" customFormat="1" ht="12.75">
      <c r="B498" s="11"/>
      <c r="C498" s="80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</row>
    <row r="499" spans="2:39" s="9" customFormat="1" ht="12.75">
      <c r="B499" s="11"/>
      <c r="C499" s="80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</row>
    <row r="500" spans="2:39" s="9" customFormat="1" ht="12.75">
      <c r="B500" s="11"/>
      <c r="C500" s="80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</row>
    <row r="501" spans="2:39" s="9" customFormat="1" ht="12.75">
      <c r="B501" s="11"/>
      <c r="C501" s="80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</row>
    <row r="502" spans="2:39" s="9" customFormat="1" ht="12.75">
      <c r="B502" s="11"/>
      <c r="C502" s="80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</row>
    <row r="503" ht="12.75">
      <c r="B503" s="11"/>
    </row>
  </sheetData>
  <mergeCells count="4">
    <mergeCell ref="C5:O5"/>
    <mergeCell ref="A7:A20"/>
    <mergeCell ref="C26:O26"/>
    <mergeCell ref="A28:A43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AM540"/>
  <sheetViews>
    <sheetView workbookViewId="0" topLeftCell="A1">
      <selection activeCell="A1" sqref="A1"/>
    </sheetView>
  </sheetViews>
  <sheetFormatPr defaultColWidth="9.140625" defaultRowHeight="12.75"/>
  <cols>
    <col min="1" max="1" width="3.28125" style="4" customWidth="1"/>
    <col min="2" max="2" width="17.28125" style="23" bestFit="1" customWidth="1"/>
    <col min="3" max="3" width="6.00390625" style="7" customWidth="1"/>
    <col min="4" max="15" width="6.00390625" style="4" customWidth="1"/>
    <col min="16" max="16" width="5.8515625" style="4" bestFit="1" customWidth="1"/>
    <col min="17" max="17" width="5.140625" style="4" bestFit="1" customWidth="1"/>
    <col min="18" max="18" width="5.7109375" style="4" bestFit="1" customWidth="1"/>
    <col min="19" max="20" width="6.00390625" style="4" bestFit="1" customWidth="1"/>
    <col min="21" max="21" width="7.28125" style="4" bestFit="1" customWidth="1"/>
    <col min="22" max="22" width="5.7109375" style="4" bestFit="1" customWidth="1"/>
    <col min="23" max="39" width="9.140625" style="2" customWidth="1"/>
    <col min="40" max="16384" width="9.140625" style="4" customWidth="1"/>
  </cols>
  <sheetData>
    <row r="1" spans="1:16" ht="18.75">
      <c r="A1" s="6" t="s">
        <v>5</v>
      </c>
      <c r="P1" s="6"/>
    </row>
    <row r="2" spans="1:16" ht="12.75">
      <c r="A2" s="5" t="s">
        <v>148</v>
      </c>
      <c r="P2" s="8"/>
    </row>
    <row r="3" spans="1:2" ht="9.75" customHeight="1">
      <c r="A3" s="13" t="s">
        <v>217</v>
      </c>
      <c r="B3" s="10"/>
    </row>
    <row r="4" spans="1:2" ht="9.75" customHeight="1" thickBot="1">
      <c r="A4" s="13"/>
      <c r="B4" s="10"/>
    </row>
    <row r="5" spans="2:15" ht="15" customHeight="1" thickBot="1">
      <c r="B5" s="10"/>
      <c r="C5" s="185">
        <v>2007</v>
      </c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7"/>
    </row>
    <row r="6" spans="2:15" ht="48" thickBot="1">
      <c r="B6" s="10"/>
      <c r="C6" s="51" t="s">
        <v>77</v>
      </c>
      <c r="D6" s="53" t="s">
        <v>78</v>
      </c>
      <c r="E6" s="53" t="s">
        <v>79</v>
      </c>
      <c r="F6" s="53" t="s">
        <v>80</v>
      </c>
      <c r="G6" s="53" t="s">
        <v>81</v>
      </c>
      <c r="H6" s="53" t="s">
        <v>82</v>
      </c>
      <c r="I6" s="53" t="s">
        <v>83</v>
      </c>
      <c r="J6" s="53" t="s">
        <v>84</v>
      </c>
      <c r="K6" s="53" t="s">
        <v>85</v>
      </c>
      <c r="L6" s="53" t="s">
        <v>86</v>
      </c>
      <c r="M6" s="53" t="s">
        <v>87</v>
      </c>
      <c r="N6" s="52" t="s">
        <v>88</v>
      </c>
      <c r="O6" s="73" t="s">
        <v>89</v>
      </c>
    </row>
    <row r="7" spans="1:22" ht="15.75">
      <c r="A7" s="195" t="s">
        <v>6</v>
      </c>
      <c r="B7" s="153" t="s">
        <v>185</v>
      </c>
      <c r="C7" s="39">
        <f>1.633+0.673+58.413+507.08+23+0.03+0.22+0.5+0.29+92+0.77+111.12+79.262+42.8+0.01+0.101+48.564+52</f>
        <v>1018.4659999999999</v>
      </c>
      <c r="D7" s="40">
        <f>2.3+0.26+2.398+14.94+40.51+7.342+21.48+6.145+0.323+0.04+0.7+36+0.145+48.88+0.18+28.4+0.535+1.1+13.65+6.145+0.19+57.84+42.8+22</f>
        <v>354.30300000000005</v>
      </c>
      <c r="E7" s="40">
        <f>1.54+2.929+58.46+38+0.015+40.33+58.04+22.6+0.28+1.2+14.02+0.1+2.916+0.8+1.1+1.815+0.4+73.95+1.231+39.74+37.53</f>
        <v>396.996</v>
      </c>
      <c r="F7" s="40">
        <f>3.86+18+54.8+0.7+2.4+147.8+554.5+22.28+24.47+0.55+0.037+53.46+20.06+0.175+0.513+0.092+55.37+16.63</f>
        <v>975.6969999999999</v>
      </c>
      <c r="G7" s="40">
        <f>5.843+0.45+70+0.55+40.13+311+20+23+45+42.7+1.622+24+0.045+0.406+0.4+29.72+0.188+0.067+0.1+0.285</f>
        <v>615.5059999999999</v>
      </c>
      <c r="H7" s="40">
        <f>6.485+0.655+0.4+0.5+265.94+71.77+92.9+120.4+23+0.6+0.2+0.051+0.045</f>
        <v>582.946</v>
      </c>
      <c r="I7" s="40">
        <f>2.61+115.6+22.6+2.5+1.23+0.042+17.5+96.12+23</f>
        <v>281.202</v>
      </c>
      <c r="J7" s="40">
        <f>9.52+1136.1+0.002+0.8+0.23+0.5+0.8+0.03+0.064+0.8+9.6</f>
        <v>1158.4459999999997</v>
      </c>
      <c r="K7" s="40">
        <f>1.296+30+0.007+0.004+0.245+0.21+42.73+23+0.39+0.72+0.643</f>
        <v>99.245</v>
      </c>
      <c r="L7" s="40">
        <f>1.045+1.24+0.051</f>
        <v>2.3360000000000003</v>
      </c>
      <c r="M7" s="40">
        <f>0.83+1.265+0.44+0.36+0.13+0.915+0.136</f>
        <v>4.076</v>
      </c>
      <c r="N7" s="41">
        <f>0.3+1.65+0.533+0.595+0.9+1.89+25.645</f>
        <v>31.512999999999998</v>
      </c>
      <c r="O7" s="82">
        <f>SUM(C7:N7)</f>
        <v>5520.731999999999</v>
      </c>
      <c r="P7" s="75"/>
      <c r="Q7" s="75"/>
      <c r="R7" s="75"/>
      <c r="S7" s="75"/>
      <c r="T7" s="75"/>
      <c r="U7" s="75"/>
      <c r="V7" s="75"/>
    </row>
    <row r="8" spans="1:22" ht="15.75">
      <c r="A8" s="196"/>
      <c r="B8" s="154" t="s">
        <v>92</v>
      </c>
      <c r="C8" s="43">
        <v>0</v>
      </c>
      <c r="D8" s="44">
        <f>0.71+0.012+0.5</f>
        <v>1.222</v>
      </c>
      <c r="E8" s="44">
        <v>0.35</v>
      </c>
      <c r="F8" s="44">
        <f>0.19+995.4</f>
        <v>995.59</v>
      </c>
      <c r="G8" s="44">
        <v>0</v>
      </c>
      <c r="H8" s="44">
        <v>0.252</v>
      </c>
      <c r="I8" s="44">
        <v>0.4</v>
      </c>
      <c r="J8" s="44">
        <f>0.4+10.5</f>
        <v>10.9</v>
      </c>
      <c r="K8" s="44">
        <v>0.336</v>
      </c>
      <c r="L8" s="44">
        <f>0.25</f>
        <v>0.25</v>
      </c>
      <c r="M8" s="44">
        <v>0</v>
      </c>
      <c r="N8" s="45">
        <v>0</v>
      </c>
      <c r="O8" s="48">
        <f aca="true" t="shared" si="0" ref="O8:O19">SUM(C8:N8)</f>
        <v>1009.3</v>
      </c>
      <c r="P8" s="75"/>
      <c r="Q8" s="75"/>
      <c r="R8" s="75"/>
      <c r="S8" s="75"/>
      <c r="T8" s="75"/>
      <c r="U8" s="75"/>
      <c r="V8" s="75"/>
    </row>
    <row r="9" spans="1:22" ht="15.75">
      <c r="A9" s="196"/>
      <c r="B9" s="154" t="s">
        <v>186</v>
      </c>
      <c r="C9" s="34">
        <f>5.52+13.35+0.45+0.062+1.775+10+0.09+5.9+8.458+0.08</f>
        <v>45.684999999999995</v>
      </c>
      <c r="D9" s="35">
        <f>8+20.62+2.52+5+1.68+5.988+5.01+65.73+5.75+2.44+6.65+1.2+0.15+1</f>
        <v>131.738</v>
      </c>
      <c r="E9" s="35">
        <f>23.1+5.88+0.4+29+17.57+12.03+16.66+10.71</f>
        <v>115.35</v>
      </c>
      <c r="F9" s="35">
        <f>21.1+11.4+4</f>
        <v>36.5</v>
      </c>
      <c r="G9" s="35">
        <f>1.415+5+1.5</f>
        <v>7.915</v>
      </c>
      <c r="H9" s="35">
        <f>0.02+1.9+1.9</f>
        <v>3.82</v>
      </c>
      <c r="I9" s="35">
        <f>0.8+2+5.5+8.58+0.051</f>
        <v>16.931</v>
      </c>
      <c r="J9" s="35">
        <f>0.915+10.5+0.434+0.842</f>
        <v>12.690999999999999</v>
      </c>
      <c r="K9" s="35">
        <f>0.09+0.95+2.139+4.8+3+3+1+0.6+1+2+1.5</f>
        <v>20.079</v>
      </c>
      <c r="L9" s="35">
        <f>0.88+0.27+0.012</f>
        <v>1.162</v>
      </c>
      <c r="M9" s="35">
        <f>0.85+23.08+0.084+0.35+0.42+9</f>
        <v>33.784000000000006</v>
      </c>
      <c r="N9" s="36">
        <f>0.25+1+2.06+0.075</f>
        <v>3.3850000000000002</v>
      </c>
      <c r="O9" s="48">
        <f t="shared" si="0"/>
        <v>429.03999999999996</v>
      </c>
      <c r="P9" s="75"/>
      <c r="Q9" s="75"/>
      <c r="R9" s="75"/>
      <c r="S9" s="75"/>
      <c r="T9" s="75"/>
      <c r="U9" s="75"/>
      <c r="V9" s="75"/>
    </row>
    <row r="10" spans="1:22" ht="15.75">
      <c r="A10" s="196"/>
      <c r="B10" s="154" t="s">
        <v>192</v>
      </c>
      <c r="C10" s="34">
        <f>27.632+19.177+39.555</f>
        <v>86.364</v>
      </c>
      <c r="D10" s="35">
        <v>0</v>
      </c>
      <c r="E10" s="35">
        <f>3.502+20.11+7+92+15.78</f>
        <v>138.392</v>
      </c>
      <c r="F10" s="35">
        <v>19.89</v>
      </c>
      <c r="G10" s="35">
        <f>19.88+92.77</f>
        <v>112.64999999999999</v>
      </c>
      <c r="H10" s="35">
        <v>0</v>
      </c>
      <c r="I10" s="35">
        <v>0</v>
      </c>
      <c r="J10" s="35">
        <v>0</v>
      </c>
      <c r="K10" s="44">
        <v>92</v>
      </c>
      <c r="L10" s="35">
        <v>0</v>
      </c>
      <c r="M10" s="35">
        <v>21</v>
      </c>
      <c r="N10" s="36">
        <f>13.25+142</f>
        <v>155.25</v>
      </c>
      <c r="O10" s="48">
        <f t="shared" si="0"/>
        <v>625.546</v>
      </c>
      <c r="P10" s="75"/>
      <c r="Q10" s="75"/>
      <c r="R10" s="75"/>
      <c r="S10" s="75"/>
      <c r="T10" s="75"/>
      <c r="U10" s="75"/>
      <c r="V10" s="75"/>
    </row>
    <row r="11" spans="1:22" ht="12.75">
      <c r="A11" s="196"/>
      <c r="B11" s="155" t="s">
        <v>188</v>
      </c>
      <c r="C11" s="34">
        <f>0.4+11+15.555+0.232+20+17</f>
        <v>64.187</v>
      </c>
      <c r="D11" s="35">
        <f>0.215+0.7+0.25+0.045+7.85+0.025</f>
        <v>9.084999999999999</v>
      </c>
      <c r="E11" s="35">
        <f>24+0.1+0.28+18.9+0.8+1+2.864+0.53+0.067+67.41+0.096+0.1+0.105+0.56+7.22+0.09+0.011+0.356</f>
        <v>124.48899999999999</v>
      </c>
      <c r="F11" s="35">
        <f>0.29+5.88+28.43+9.684+7.4+0.037+1.595</f>
        <v>53.315999999999995</v>
      </c>
      <c r="G11" s="35">
        <f>0.46+0.25+12.28+0.92+0.35+0.04+0.027+0.185+23.81</f>
        <v>38.321999999999996</v>
      </c>
      <c r="H11" s="35">
        <f>0.44+0.458+0.69+0.265+0.175+2.1+0.6</f>
        <v>4.728</v>
      </c>
      <c r="I11" s="35">
        <f>0.038+0.1+0.015</f>
        <v>0.15300000000000002</v>
      </c>
      <c r="J11" s="35">
        <f>0.38+0.31</f>
        <v>0.69</v>
      </c>
      <c r="K11" s="35">
        <f>0.345+36+0.9+2.6</f>
        <v>39.845</v>
      </c>
      <c r="L11" s="35">
        <f>0.017+1.5+2.66+0.01+0.4</f>
        <v>4.587</v>
      </c>
      <c r="M11" s="35">
        <f>1.333+0.53+0.09+0.13+0.09+0.02</f>
        <v>2.193</v>
      </c>
      <c r="N11" s="36">
        <f>0.245+0.26+0.77+62.24+0.55+0.275</f>
        <v>64.34</v>
      </c>
      <c r="O11" s="48">
        <f t="shared" si="0"/>
        <v>405.93499999999995</v>
      </c>
      <c r="P11" s="76"/>
      <c r="Q11" s="76"/>
      <c r="R11" s="76"/>
      <c r="S11" s="76"/>
      <c r="T11" s="76"/>
      <c r="U11" s="76"/>
      <c r="V11" s="76"/>
    </row>
    <row r="12" spans="1:22" ht="12.75">
      <c r="A12" s="196"/>
      <c r="B12" s="154" t="s">
        <v>187</v>
      </c>
      <c r="C12" s="34">
        <f>0.588+1.26+41.382+5.9</f>
        <v>49.129999999999995</v>
      </c>
      <c r="D12" s="35">
        <f>0.2+0.49+0.2+0.3</f>
        <v>1.19</v>
      </c>
      <c r="E12" s="35">
        <f>0.43+0.12+0.74</f>
        <v>1.29</v>
      </c>
      <c r="F12" s="35">
        <f>0.22+0.7+22.47+18.35+3.035+3.71+7.698+0.4</f>
        <v>56.583000000000006</v>
      </c>
      <c r="G12" s="35">
        <f>0.39+0.24</f>
        <v>0.63</v>
      </c>
      <c r="H12" s="35">
        <f>0.255+0.4</f>
        <v>0.655</v>
      </c>
      <c r="I12" s="35">
        <f>0.15+0.725</f>
        <v>0.875</v>
      </c>
      <c r="J12" s="35">
        <v>9.175</v>
      </c>
      <c r="K12" s="35">
        <f>0.63+0.21+0.07</f>
        <v>0.9099999999999999</v>
      </c>
      <c r="L12" s="35">
        <f>0.27+0.26</f>
        <v>0.53</v>
      </c>
      <c r="M12" s="35">
        <f>0.12+0.95+0.3+3.7</f>
        <v>5.07</v>
      </c>
      <c r="N12" s="36">
        <f>0.15+0.9</f>
        <v>1.05</v>
      </c>
      <c r="O12" s="48">
        <f t="shared" si="0"/>
        <v>127.08799999999998</v>
      </c>
      <c r="P12" s="76"/>
      <c r="Q12" s="76"/>
      <c r="R12" s="76"/>
      <c r="S12" s="76"/>
      <c r="T12" s="76"/>
      <c r="U12" s="76"/>
      <c r="V12" s="76"/>
    </row>
    <row r="13" spans="1:22" ht="12.75">
      <c r="A13" s="196"/>
      <c r="B13" s="154" t="s">
        <v>7</v>
      </c>
      <c r="C13" s="34">
        <v>0</v>
      </c>
      <c r="D13" s="35">
        <v>7.9</v>
      </c>
      <c r="E13" s="35">
        <v>0</v>
      </c>
      <c r="F13" s="35">
        <v>0.2</v>
      </c>
      <c r="G13" s="35">
        <v>0.17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6">
        <v>0.34</v>
      </c>
      <c r="O13" s="48">
        <f t="shared" si="0"/>
        <v>8.61</v>
      </c>
      <c r="P13" s="76"/>
      <c r="Q13" s="76"/>
      <c r="R13" s="76"/>
      <c r="S13" s="76"/>
      <c r="T13" s="76"/>
      <c r="U13" s="76"/>
      <c r="V13" s="76"/>
    </row>
    <row r="14" spans="1:39" s="7" customFormat="1" ht="12">
      <c r="A14" s="196"/>
      <c r="B14" s="160" t="s">
        <v>189</v>
      </c>
      <c r="C14" s="34">
        <f>10.94+12.829+0.14+1.75+4.56+9.8+1.375+0.875+1.25+4.8+16.829</f>
        <v>65.148</v>
      </c>
      <c r="D14" s="35">
        <f>0.77+5.084+24.93+2.5+5.734+0.5+9.829</f>
        <v>49.347</v>
      </c>
      <c r="E14" s="35">
        <f>0.175+11.594+1.44+3.6+0.475+0.76+5.213+0.585+19.41</f>
        <v>43.25200000000001</v>
      </c>
      <c r="F14" s="35">
        <f>0.95+5.127+0.58+13.878</f>
        <v>20.535</v>
      </c>
      <c r="G14" s="35">
        <f>5.668+0.6+20.82+100+8.6+0.07+0.0825+9.555+0.05</f>
        <v>145.4455</v>
      </c>
      <c r="H14" s="35">
        <f>1.055+0.417+2.445+9.555+0.05</f>
        <v>13.522</v>
      </c>
      <c r="I14" s="35">
        <f>2.737+5</f>
        <v>7.737</v>
      </c>
      <c r="J14" s="83">
        <f>0.2+0.315+0.88+0.343+0.74+1.32+1+0.11+36.38+1.145+15.15+18.58</f>
        <v>76.16300000000001</v>
      </c>
      <c r="K14" s="35">
        <f>0.4+15+0.88+0.102+0.292+0.794+19.5</f>
        <v>36.968</v>
      </c>
      <c r="L14" s="35">
        <f>0.2+0.25+0.523+1.159</f>
        <v>2.132</v>
      </c>
      <c r="M14" s="35">
        <f>0.4+12</f>
        <v>12.4</v>
      </c>
      <c r="N14" s="36">
        <f>0.045+0.353+17+0.95+0.6+24.81+12+18.04+0.16</f>
        <v>73.958</v>
      </c>
      <c r="O14" s="48">
        <f t="shared" si="0"/>
        <v>546.6075000000001</v>
      </c>
      <c r="P14" s="77"/>
      <c r="Q14" s="78"/>
      <c r="R14" s="78"/>
      <c r="S14" s="77"/>
      <c r="T14" s="77"/>
      <c r="U14" s="78"/>
      <c r="V14" s="78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1:20" s="12" customFormat="1" ht="12.75">
      <c r="A15" s="196"/>
      <c r="B15" s="160" t="s">
        <v>191</v>
      </c>
      <c r="C15" s="34">
        <v>0.055</v>
      </c>
      <c r="D15" s="35">
        <f>0.24+0.9+3.792+2.25+0.12+5.532+5.52+1.2+2.88+0.345+5.4+0.3</f>
        <v>28.478999999999996</v>
      </c>
      <c r="E15" s="35">
        <f>22.59+11.26</f>
        <v>33.85</v>
      </c>
      <c r="F15" s="35">
        <f>1.912+33.642+18.432+8.064+3.496+6.645+21+0.54</f>
        <v>93.73100000000001</v>
      </c>
      <c r="G15" s="35">
        <v>11.19</v>
      </c>
      <c r="H15" s="35">
        <v>0</v>
      </c>
      <c r="I15" s="35">
        <v>0</v>
      </c>
      <c r="J15" s="35">
        <v>0</v>
      </c>
      <c r="K15" s="35">
        <v>0</v>
      </c>
      <c r="L15" s="35">
        <v>0.94</v>
      </c>
      <c r="M15" s="35">
        <v>0</v>
      </c>
      <c r="N15" s="36">
        <v>0</v>
      </c>
      <c r="O15" s="48">
        <f t="shared" si="0"/>
        <v>168.245</v>
      </c>
      <c r="P15" s="79"/>
      <c r="Q15" s="79"/>
      <c r="R15" s="79"/>
      <c r="S15" s="79"/>
      <c r="T15" s="79"/>
    </row>
    <row r="16" spans="1:20" s="12" customFormat="1" ht="12.75">
      <c r="A16" s="196"/>
      <c r="B16" s="154" t="s">
        <v>190</v>
      </c>
      <c r="C16" s="34">
        <f>4.772+0.08</f>
        <v>4.852</v>
      </c>
      <c r="D16" s="35">
        <f>5.04+39</f>
        <v>44.04</v>
      </c>
      <c r="E16" s="35">
        <v>0.375</v>
      </c>
      <c r="F16" s="35">
        <f>5.404+3.222</f>
        <v>8.626</v>
      </c>
      <c r="G16" s="35">
        <v>26.3</v>
      </c>
      <c r="H16" s="35">
        <v>0.1</v>
      </c>
      <c r="I16" s="35">
        <v>0</v>
      </c>
      <c r="J16" s="35">
        <v>0</v>
      </c>
      <c r="K16" s="35">
        <v>0</v>
      </c>
      <c r="L16" s="35">
        <v>0.615</v>
      </c>
      <c r="M16" s="35">
        <v>0</v>
      </c>
      <c r="N16" s="36">
        <v>0</v>
      </c>
      <c r="O16" s="48">
        <f t="shared" si="0"/>
        <v>84.90799999999999</v>
      </c>
      <c r="P16" s="79"/>
      <c r="Q16" s="79"/>
      <c r="R16" s="79"/>
      <c r="S16" s="79"/>
      <c r="T16" s="79"/>
    </row>
    <row r="17" spans="1:20" s="12" customFormat="1" ht="12.75">
      <c r="A17" s="196"/>
      <c r="B17" s="154" t="s">
        <v>193</v>
      </c>
      <c r="C17" s="34">
        <v>20.4</v>
      </c>
      <c r="D17" s="35">
        <v>0</v>
      </c>
      <c r="E17" s="35">
        <v>52.5</v>
      </c>
      <c r="F17" s="35">
        <v>52.5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6">
        <v>0</v>
      </c>
      <c r="O17" s="48">
        <f t="shared" si="0"/>
        <v>125.4</v>
      </c>
      <c r="P17" s="79"/>
      <c r="Q17" s="79"/>
      <c r="R17" s="79"/>
      <c r="S17" s="79"/>
      <c r="T17" s="79"/>
    </row>
    <row r="18" spans="1:20" s="12" customFormat="1" ht="12.75">
      <c r="A18" s="196"/>
      <c r="B18" s="154" t="s">
        <v>8</v>
      </c>
      <c r="C18" s="34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f>0.15+0.06</f>
        <v>0.21</v>
      </c>
      <c r="N18" s="36">
        <v>0</v>
      </c>
      <c r="O18" s="48">
        <f t="shared" si="0"/>
        <v>0.21</v>
      </c>
      <c r="P18" s="79"/>
      <c r="Q18" s="79"/>
      <c r="R18" s="79"/>
      <c r="S18" s="79"/>
      <c r="T18" s="79"/>
    </row>
    <row r="19" spans="1:20" s="12" customFormat="1" ht="12.75">
      <c r="A19" s="196"/>
      <c r="B19" s="154" t="s">
        <v>96</v>
      </c>
      <c r="C19" s="34">
        <v>0.66</v>
      </c>
      <c r="D19" s="35">
        <f>0.52+0.76+5</f>
        <v>6.28</v>
      </c>
      <c r="E19" s="35">
        <v>0</v>
      </c>
      <c r="F19" s="35">
        <v>0</v>
      </c>
      <c r="G19" s="35">
        <v>0</v>
      </c>
      <c r="H19" s="35">
        <v>0.821</v>
      </c>
      <c r="I19" s="35">
        <v>0</v>
      </c>
      <c r="J19" s="35">
        <v>0</v>
      </c>
      <c r="K19" s="35">
        <v>0</v>
      </c>
      <c r="L19" s="35">
        <f>0.79+0.12</f>
        <v>0.91</v>
      </c>
      <c r="M19" s="35">
        <v>0.1</v>
      </c>
      <c r="N19" s="36">
        <f>0.666+0.029</f>
        <v>0.6950000000000001</v>
      </c>
      <c r="O19" s="48">
        <f t="shared" si="0"/>
        <v>9.466</v>
      </c>
      <c r="P19" s="79"/>
      <c r="Q19" s="79"/>
      <c r="R19" s="79"/>
      <c r="S19" s="79"/>
      <c r="T19" s="79"/>
    </row>
    <row r="20" spans="1:20" s="12" customFormat="1" ht="12.75">
      <c r="A20" s="196"/>
      <c r="B20" s="154" t="s">
        <v>9</v>
      </c>
      <c r="C20" s="34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0.05</v>
      </c>
      <c r="L20" s="35">
        <v>0</v>
      </c>
      <c r="M20" s="35">
        <v>0</v>
      </c>
      <c r="N20" s="36">
        <v>0</v>
      </c>
      <c r="O20" s="46">
        <f>SUM(C20:N20)</f>
        <v>0.05</v>
      </c>
      <c r="P20" s="79"/>
      <c r="Q20" s="79"/>
      <c r="R20" s="79"/>
      <c r="S20" s="79"/>
      <c r="T20" s="79"/>
    </row>
    <row r="21" spans="1:20" s="12" customFormat="1" ht="12.75">
      <c r="A21" s="196"/>
      <c r="B21" s="154" t="s">
        <v>10</v>
      </c>
      <c r="C21" s="34">
        <v>0.024</v>
      </c>
      <c r="D21" s="35">
        <v>0.44</v>
      </c>
      <c r="E21" s="35">
        <v>0.44</v>
      </c>
      <c r="F21" s="35">
        <v>0</v>
      </c>
      <c r="G21" s="35">
        <v>9.464</v>
      </c>
      <c r="H21" s="35">
        <v>0</v>
      </c>
      <c r="I21" s="35">
        <v>0</v>
      </c>
      <c r="J21" s="35">
        <v>0</v>
      </c>
      <c r="K21" s="35">
        <v>9.6</v>
      </c>
      <c r="L21" s="35">
        <v>0.193</v>
      </c>
      <c r="M21" s="35">
        <v>0</v>
      </c>
      <c r="N21" s="36">
        <v>0</v>
      </c>
      <c r="O21" s="48">
        <f aca="true" t="shared" si="1" ref="O21:O57">SUM(C21:N21)</f>
        <v>20.161</v>
      </c>
      <c r="P21" s="79"/>
      <c r="Q21" s="79"/>
      <c r="R21" s="79"/>
      <c r="S21" s="79"/>
      <c r="T21" s="79"/>
    </row>
    <row r="22" spans="1:20" s="12" customFormat="1" ht="12.75">
      <c r="A22" s="196"/>
      <c r="B22" s="154" t="s">
        <v>33</v>
      </c>
      <c r="C22" s="34">
        <v>0</v>
      </c>
      <c r="D22" s="35">
        <v>0.06</v>
      </c>
      <c r="E22" s="35">
        <v>0</v>
      </c>
      <c r="F22" s="35">
        <v>0</v>
      </c>
      <c r="G22" s="35">
        <v>0.336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6">
        <v>0</v>
      </c>
      <c r="O22" s="48">
        <f t="shared" si="1"/>
        <v>0.396</v>
      </c>
      <c r="P22" s="79"/>
      <c r="Q22" s="79"/>
      <c r="R22" s="79"/>
      <c r="S22" s="79"/>
      <c r="T22" s="79"/>
    </row>
    <row r="23" spans="1:20" s="12" customFormat="1" ht="12.75">
      <c r="A23" s="196"/>
      <c r="B23" s="154" t="s">
        <v>32</v>
      </c>
      <c r="C23" s="34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4">
        <v>0</v>
      </c>
      <c r="K23" s="35">
        <v>0.404</v>
      </c>
      <c r="L23" s="35">
        <v>0</v>
      </c>
      <c r="M23" s="35">
        <v>0</v>
      </c>
      <c r="N23" s="36">
        <v>0</v>
      </c>
      <c r="O23" s="48">
        <f t="shared" si="1"/>
        <v>0.404</v>
      </c>
      <c r="P23" s="79"/>
      <c r="Q23" s="79"/>
      <c r="R23" s="79"/>
      <c r="S23" s="79"/>
      <c r="T23" s="79"/>
    </row>
    <row r="24" spans="1:20" s="12" customFormat="1" ht="12.75">
      <c r="A24" s="196"/>
      <c r="B24" s="154" t="s">
        <v>11</v>
      </c>
      <c r="C24" s="34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4">
        <v>0</v>
      </c>
      <c r="K24" s="35">
        <f>0.04+0.018</f>
        <v>0.057999999999999996</v>
      </c>
      <c r="L24" s="35">
        <f>0.06+0.014+0.04+0.53</f>
        <v>0.644</v>
      </c>
      <c r="M24" s="35">
        <f>0.035+0.02</f>
        <v>0.05500000000000001</v>
      </c>
      <c r="N24" s="36">
        <v>0</v>
      </c>
      <c r="O24" s="48">
        <f t="shared" si="1"/>
        <v>0.757</v>
      </c>
      <c r="P24" s="79"/>
      <c r="Q24" s="79"/>
      <c r="R24" s="79"/>
      <c r="S24" s="79"/>
      <c r="T24" s="79"/>
    </row>
    <row r="25" spans="1:20" s="12" customFormat="1" ht="12.75">
      <c r="A25" s="196"/>
      <c r="B25" s="154" t="s">
        <v>103</v>
      </c>
      <c r="C25" s="34">
        <v>0.05</v>
      </c>
      <c r="D25" s="35">
        <f>0.68+0.32</f>
        <v>1</v>
      </c>
      <c r="E25" s="35">
        <v>0.007</v>
      </c>
      <c r="F25" s="35">
        <v>0.6</v>
      </c>
      <c r="G25" s="35">
        <v>0</v>
      </c>
      <c r="H25" s="35">
        <v>1.5</v>
      </c>
      <c r="I25" s="35">
        <v>0.5</v>
      </c>
      <c r="J25" s="35">
        <v>0.001</v>
      </c>
      <c r="K25" s="35">
        <v>0.8</v>
      </c>
      <c r="L25" s="35">
        <v>0.504</v>
      </c>
      <c r="M25" s="35">
        <v>1</v>
      </c>
      <c r="N25" s="36">
        <v>0</v>
      </c>
      <c r="O25" s="48">
        <f t="shared" si="1"/>
        <v>5.962</v>
      </c>
      <c r="P25" s="79"/>
      <c r="Q25" s="79"/>
      <c r="R25" s="79"/>
      <c r="S25" s="79"/>
      <c r="T25" s="79"/>
    </row>
    <row r="26" spans="1:20" s="12" customFormat="1" ht="12.75">
      <c r="A26" s="196"/>
      <c r="B26" s="154" t="s">
        <v>12</v>
      </c>
      <c r="C26" s="34">
        <v>0</v>
      </c>
      <c r="D26" s="35">
        <v>0</v>
      </c>
      <c r="E26" s="35">
        <v>0</v>
      </c>
      <c r="F26" s="35">
        <v>0</v>
      </c>
      <c r="G26" s="35">
        <v>0.11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6">
        <v>0</v>
      </c>
      <c r="O26" s="48">
        <f t="shared" si="1"/>
        <v>0.11</v>
      </c>
      <c r="P26" s="79"/>
      <c r="Q26" s="79"/>
      <c r="R26" s="79"/>
      <c r="S26" s="79"/>
      <c r="T26" s="79"/>
    </row>
    <row r="27" spans="1:20" s="12" customFormat="1" ht="12.75">
      <c r="A27" s="196"/>
      <c r="B27" s="154" t="s">
        <v>13</v>
      </c>
      <c r="C27" s="34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0.09</v>
      </c>
      <c r="J27" s="35">
        <v>0</v>
      </c>
      <c r="K27" s="35">
        <v>0</v>
      </c>
      <c r="L27" s="35">
        <v>0</v>
      </c>
      <c r="M27" s="35">
        <v>0</v>
      </c>
      <c r="N27" s="36">
        <v>0</v>
      </c>
      <c r="O27" s="48">
        <f t="shared" si="1"/>
        <v>0.09</v>
      </c>
      <c r="P27" s="79"/>
      <c r="Q27" s="79"/>
      <c r="R27" s="79"/>
      <c r="S27" s="79"/>
      <c r="T27" s="79"/>
    </row>
    <row r="28" spans="1:20" s="12" customFormat="1" ht="12.75">
      <c r="A28" s="196"/>
      <c r="B28" s="154" t="s">
        <v>14</v>
      </c>
      <c r="C28" s="34">
        <v>0</v>
      </c>
      <c r="D28" s="35">
        <v>0.1</v>
      </c>
      <c r="E28" s="35">
        <v>0.1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6">
        <v>0</v>
      </c>
      <c r="O28" s="48">
        <f t="shared" si="1"/>
        <v>0.2</v>
      </c>
      <c r="P28" s="79"/>
      <c r="Q28" s="79"/>
      <c r="R28" s="79"/>
      <c r="S28" s="79"/>
      <c r="T28" s="79"/>
    </row>
    <row r="29" spans="1:20" s="12" customFormat="1" ht="12.75">
      <c r="A29" s="196"/>
      <c r="B29" s="154" t="s">
        <v>224</v>
      </c>
      <c r="C29" s="34">
        <v>0</v>
      </c>
      <c r="D29" s="35">
        <v>0.008</v>
      </c>
      <c r="E29" s="35">
        <v>0.01</v>
      </c>
      <c r="F29" s="35">
        <v>0.012</v>
      </c>
      <c r="G29" s="35">
        <v>0.006</v>
      </c>
      <c r="H29" s="35">
        <v>0.014</v>
      </c>
      <c r="I29" s="35">
        <v>0.009</v>
      </c>
      <c r="J29" s="35">
        <v>0</v>
      </c>
      <c r="K29" s="35">
        <v>0.007</v>
      </c>
      <c r="L29" s="35">
        <v>0</v>
      </c>
      <c r="M29" s="35">
        <v>0.009</v>
      </c>
      <c r="N29" s="36">
        <v>0</v>
      </c>
      <c r="O29" s="48">
        <f t="shared" si="1"/>
        <v>0.075</v>
      </c>
      <c r="P29" s="79"/>
      <c r="Q29" s="79"/>
      <c r="R29" s="79"/>
      <c r="S29" s="79"/>
      <c r="T29" s="79"/>
    </row>
    <row r="30" spans="1:20" s="12" customFormat="1" ht="12.75">
      <c r="A30" s="196"/>
      <c r="B30" s="154" t="s">
        <v>15</v>
      </c>
      <c r="C30" s="34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0.006</v>
      </c>
      <c r="J30" s="35">
        <v>0</v>
      </c>
      <c r="K30" s="35">
        <v>0</v>
      </c>
      <c r="L30" s="35">
        <v>0</v>
      </c>
      <c r="M30" s="35">
        <v>0</v>
      </c>
      <c r="N30" s="36">
        <v>0</v>
      </c>
      <c r="O30" s="48">
        <f t="shared" si="1"/>
        <v>0.006</v>
      </c>
      <c r="P30" s="79"/>
      <c r="Q30" s="79"/>
      <c r="R30" s="79"/>
      <c r="S30" s="79"/>
      <c r="T30" s="79"/>
    </row>
    <row r="31" spans="1:20" s="12" customFormat="1" ht="12.75">
      <c r="A31" s="196"/>
      <c r="B31" s="154" t="s">
        <v>16</v>
      </c>
      <c r="C31" s="34">
        <v>0</v>
      </c>
      <c r="D31" s="35">
        <v>0.03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6">
        <v>0</v>
      </c>
      <c r="O31" s="48">
        <f t="shared" si="1"/>
        <v>0.03</v>
      </c>
      <c r="P31" s="79"/>
      <c r="Q31" s="79"/>
      <c r="R31" s="79"/>
      <c r="S31" s="79"/>
      <c r="T31" s="79"/>
    </row>
    <row r="32" spans="1:20" s="12" customFormat="1" ht="12.75">
      <c r="A32" s="196"/>
      <c r="B32" s="154" t="s">
        <v>17</v>
      </c>
      <c r="C32" s="34">
        <v>0</v>
      </c>
      <c r="D32" s="35">
        <v>1.03</v>
      </c>
      <c r="E32" s="35">
        <v>2.63</v>
      </c>
      <c r="F32" s="35">
        <v>0</v>
      </c>
      <c r="G32" s="35">
        <v>0</v>
      </c>
      <c r="H32" s="35">
        <v>0.016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6">
        <v>0</v>
      </c>
      <c r="O32" s="48">
        <f t="shared" si="1"/>
        <v>3.676</v>
      </c>
      <c r="P32" s="79"/>
      <c r="Q32" s="79"/>
      <c r="R32" s="79"/>
      <c r="S32" s="79"/>
      <c r="T32" s="79"/>
    </row>
    <row r="33" spans="1:20" s="12" customFormat="1" ht="12.75">
      <c r="A33" s="196"/>
      <c r="B33" s="154" t="s">
        <v>225</v>
      </c>
      <c r="C33" s="34">
        <v>0</v>
      </c>
      <c r="D33" s="35">
        <v>0</v>
      </c>
      <c r="E33" s="35">
        <v>0.144</v>
      </c>
      <c r="F33" s="35">
        <v>0</v>
      </c>
      <c r="G33" s="35">
        <v>0</v>
      </c>
      <c r="H33" s="35">
        <v>0</v>
      </c>
      <c r="I33" s="35">
        <v>0</v>
      </c>
      <c r="J33" s="35">
        <f>0.264+2</f>
        <v>2.2640000000000002</v>
      </c>
      <c r="K33" s="35">
        <v>0</v>
      </c>
      <c r="L33" s="35">
        <v>0.6</v>
      </c>
      <c r="M33" s="35">
        <v>1.012</v>
      </c>
      <c r="N33" s="36">
        <v>0</v>
      </c>
      <c r="O33" s="48">
        <f t="shared" si="1"/>
        <v>4.0200000000000005</v>
      </c>
      <c r="P33" s="79"/>
      <c r="Q33" s="79"/>
      <c r="R33" s="79"/>
      <c r="S33" s="79"/>
      <c r="T33" s="79"/>
    </row>
    <row r="34" spans="1:20" s="12" customFormat="1" ht="12.75">
      <c r="A34" s="196"/>
      <c r="B34" s="154" t="s">
        <v>18</v>
      </c>
      <c r="C34" s="34">
        <v>0</v>
      </c>
      <c r="D34" s="35">
        <v>0</v>
      </c>
      <c r="E34" s="35">
        <v>0.02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0.1</v>
      </c>
      <c r="N34" s="36">
        <v>0</v>
      </c>
      <c r="O34" s="48">
        <f t="shared" si="1"/>
        <v>0.12000000000000001</v>
      </c>
      <c r="P34" s="79"/>
      <c r="Q34" s="79"/>
      <c r="R34" s="79"/>
      <c r="S34" s="79"/>
      <c r="T34" s="79"/>
    </row>
    <row r="35" spans="1:20" s="12" customFormat="1" ht="12.75">
      <c r="A35" s="196"/>
      <c r="B35" s="154" t="s">
        <v>19</v>
      </c>
      <c r="C35" s="34">
        <v>0</v>
      </c>
      <c r="D35" s="35">
        <v>0</v>
      </c>
      <c r="E35" s="35">
        <v>0</v>
      </c>
      <c r="F35" s="35">
        <v>0</v>
      </c>
      <c r="G35" s="35">
        <v>5.6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6">
        <v>0</v>
      </c>
      <c r="O35" s="48">
        <f t="shared" si="1"/>
        <v>5.6</v>
      </c>
      <c r="P35" s="79"/>
      <c r="Q35" s="79"/>
      <c r="R35" s="79"/>
      <c r="S35" s="79"/>
      <c r="T35" s="79"/>
    </row>
    <row r="36" spans="1:20" s="12" customFormat="1" ht="12.75">
      <c r="A36" s="196"/>
      <c r="B36" s="154" t="s">
        <v>226</v>
      </c>
      <c r="C36" s="34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1.004</v>
      </c>
      <c r="K36" s="35">
        <v>1.004</v>
      </c>
      <c r="L36" s="35">
        <v>0</v>
      </c>
      <c r="M36" s="35">
        <v>0</v>
      </c>
      <c r="N36" s="36">
        <v>0</v>
      </c>
      <c r="O36" s="48">
        <f t="shared" si="1"/>
        <v>2.008</v>
      </c>
      <c r="P36" s="79"/>
      <c r="Q36" s="79"/>
      <c r="R36" s="79"/>
      <c r="S36" s="79"/>
      <c r="T36" s="79"/>
    </row>
    <row r="37" spans="1:20" s="12" customFormat="1" ht="12.75">
      <c r="A37" s="196"/>
      <c r="B37" s="154" t="s">
        <v>20</v>
      </c>
      <c r="C37" s="34">
        <v>0</v>
      </c>
      <c r="D37" s="35">
        <v>0</v>
      </c>
      <c r="E37" s="35">
        <v>0.24</v>
      </c>
      <c r="F37" s="35">
        <v>0</v>
      </c>
      <c r="G37" s="35">
        <f>0.475+1.3</f>
        <v>1.775</v>
      </c>
      <c r="H37" s="35">
        <v>0</v>
      </c>
      <c r="I37" s="35">
        <v>0.8</v>
      </c>
      <c r="J37" s="35">
        <v>0.564</v>
      </c>
      <c r="K37" s="35">
        <v>0</v>
      </c>
      <c r="L37" s="35">
        <f>0.564+0.9</f>
        <v>1.464</v>
      </c>
      <c r="M37" s="35">
        <v>0</v>
      </c>
      <c r="N37" s="36">
        <v>0.47</v>
      </c>
      <c r="O37" s="48">
        <f t="shared" si="1"/>
        <v>5.313</v>
      </c>
      <c r="P37" s="79"/>
      <c r="Q37" s="79"/>
      <c r="R37" s="79"/>
      <c r="S37" s="79"/>
      <c r="T37" s="79"/>
    </row>
    <row r="38" spans="1:20" s="12" customFormat="1" ht="12.75">
      <c r="A38" s="196"/>
      <c r="B38" s="154" t="s">
        <v>21</v>
      </c>
      <c r="C38" s="34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1.466</v>
      </c>
      <c r="N38" s="36">
        <v>0</v>
      </c>
      <c r="O38" s="48">
        <f t="shared" si="1"/>
        <v>1.466</v>
      </c>
      <c r="P38" s="79"/>
      <c r="Q38" s="79"/>
      <c r="R38" s="79"/>
      <c r="S38" s="79"/>
      <c r="T38" s="79"/>
    </row>
    <row r="39" spans="1:20" s="12" customFormat="1" ht="12.75">
      <c r="A39" s="196"/>
      <c r="B39" s="154" t="s">
        <v>22</v>
      </c>
      <c r="C39" s="34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0.2</v>
      </c>
      <c r="M39" s="35">
        <v>0</v>
      </c>
      <c r="N39" s="36">
        <v>0</v>
      </c>
      <c r="O39" s="48">
        <f t="shared" si="1"/>
        <v>0.2</v>
      </c>
      <c r="P39" s="79"/>
      <c r="Q39" s="79"/>
      <c r="R39" s="79"/>
      <c r="S39" s="79"/>
      <c r="T39" s="79"/>
    </row>
    <row r="40" spans="1:20" s="12" customFormat="1" ht="12.75">
      <c r="A40" s="196"/>
      <c r="B40" s="154" t="s">
        <v>23</v>
      </c>
      <c r="C40" s="34">
        <v>0</v>
      </c>
      <c r="D40" s="35">
        <v>0.014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6">
        <v>0</v>
      </c>
      <c r="O40" s="48">
        <f t="shared" si="1"/>
        <v>0.014</v>
      </c>
      <c r="P40" s="79"/>
      <c r="Q40" s="79"/>
      <c r="R40" s="79"/>
      <c r="S40" s="79"/>
      <c r="T40" s="79"/>
    </row>
    <row r="41" spans="1:20" s="12" customFormat="1" ht="12.75">
      <c r="A41" s="196"/>
      <c r="B41" s="154" t="s">
        <v>195</v>
      </c>
      <c r="C41" s="34">
        <f>5.409+9.58+20</f>
        <v>34.989000000000004</v>
      </c>
      <c r="D41" s="35">
        <v>0</v>
      </c>
      <c r="E41" s="35">
        <v>0</v>
      </c>
      <c r="F41" s="35">
        <v>0.09</v>
      </c>
      <c r="G41" s="35">
        <f>10.5+5.267</f>
        <v>15.767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6">
        <v>0</v>
      </c>
      <c r="O41" s="48">
        <f t="shared" si="1"/>
        <v>50.846000000000004</v>
      </c>
      <c r="P41" s="79"/>
      <c r="Q41" s="79"/>
      <c r="R41" s="79"/>
      <c r="S41" s="79"/>
      <c r="T41" s="79"/>
    </row>
    <row r="42" spans="1:20" s="12" customFormat="1" ht="12.75">
      <c r="A42" s="196"/>
      <c r="B42" s="161" t="s">
        <v>222</v>
      </c>
      <c r="C42" s="34">
        <f>3.305+53.95+194+308.87</f>
        <v>560.125</v>
      </c>
      <c r="D42" s="35">
        <f>480+148.28</f>
        <v>628.28</v>
      </c>
      <c r="E42" s="35">
        <f>1259+621.3</f>
        <v>1880.3</v>
      </c>
      <c r="F42" s="35">
        <f>141.6+395.2+70+143.9+411.7</f>
        <v>1162.3999999999999</v>
      </c>
      <c r="G42" s="35">
        <f>458.7+84.2</f>
        <v>542.9</v>
      </c>
      <c r="H42" s="35">
        <f>118.67+98+10.1</f>
        <v>226.77</v>
      </c>
      <c r="I42" s="35">
        <f>246+25.685+12.8+8811.7+2448.9</f>
        <v>11545.085000000001</v>
      </c>
      <c r="J42" s="35">
        <f>543.7+2403</f>
        <v>2946.7</v>
      </c>
      <c r="K42" s="35">
        <f>143.6+88+388+140</f>
        <v>759.6</v>
      </c>
      <c r="L42" s="35">
        <f>378.41+60+1+33+468.92+14.8+75+149</f>
        <v>1180.13</v>
      </c>
      <c r="M42" s="35">
        <f>70.04+991.72+96.406+123.7+80.98+632.7+0.254+1.5+215.5</f>
        <v>2212.8</v>
      </c>
      <c r="N42" s="36">
        <f>894.23+53.33+2802.3+32+328.5+1.75</f>
        <v>4112.110000000001</v>
      </c>
      <c r="O42" s="48">
        <f t="shared" si="1"/>
        <v>27757.2</v>
      </c>
      <c r="P42" s="79"/>
      <c r="Q42" s="79"/>
      <c r="R42" s="79"/>
      <c r="S42" s="79"/>
      <c r="T42" s="79"/>
    </row>
    <row r="43" spans="1:20" s="12" customFormat="1" ht="12.75">
      <c r="A43" s="196"/>
      <c r="B43" s="154" t="s">
        <v>105</v>
      </c>
      <c r="C43" s="34">
        <f>35.049+21.114+4.95+89.85+14.925+19.48+13.353+9.8+1281.8+185.01+64.14+31.55+31.57+1021.6+0.257+60.075+0.62+317.11+19.5+11.646+14.623+3.8</f>
        <v>3251.822</v>
      </c>
      <c r="D43" s="35">
        <f>4.62+19.42+742.1+20+128.1+245.7+335.7+128.2+31.76+303.2+187.8+329.8+571.5+16+13.58+48.825+344.548+207.374+0.058+19.14+28.77+0.55+8.23</f>
        <v>3734.975</v>
      </c>
      <c r="E43" s="35">
        <f>17.49+2+12.49+47.4+20+56.35+167.8+181+741.7+506.5+5.541+172.025+63.43+214.612+93.83+290+11.64+0.96+11.33+12.34+0.275+13.61+18.53+173.3+2.277+986.4</f>
        <v>3822.830000000001</v>
      </c>
      <c r="F43" s="35">
        <f>0.31+75+10.06+25+596.7+40+52.05+536.8+74.97+203.9+4.028+200.5+45.59+172.5+20.4+35.2+0.5+30.73+12.23+51.78</f>
        <v>2188.248</v>
      </c>
      <c r="G43" s="35">
        <f>319.6+7.385+8.599+0.404+464.2+20+65+755.7+119.8+27.67+151.6+105.8+101.1+492.3+38.46+38.46+76.05+21.6+1.564+0.518+5.569+7.807+0.7+2.5+0.136+35+9.908+22.95</f>
        <v>2900.379999999999</v>
      </c>
      <c r="H43" s="35">
        <f>0.22+50+1409.5+0.325+578.26+40+349+178.69+415.84+50+205.31+10.4425+44.25+376.23+0.3+31.2</f>
        <v>3739.5675000000006</v>
      </c>
      <c r="I43" s="35">
        <f>13.59+17+0.6+580.27+1003.9+375.18+65.3+532.85+33.96+10+51.156+36.32+70.5+67</f>
        <v>2857.626</v>
      </c>
      <c r="J43" s="35">
        <f>0.23+339.34+16.7+302.83+20+179.45+269.58+987.22</f>
        <v>2115.35</v>
      </c>
      <c r="K43" s="35">
        <f>114.8+3.881+111.37+22.365+117.22+73.252+116.824+0.299</f>
        <v>560.011</v>
      </c>
      <c r="L43" s="35">
        <f>40.52+0.05+482.42+684.71+127.88+99.32</f>
        <v>1434.8999999999999</v>
      </c>
      <c r="M43" s="35">
        <f>28+544.03+253.66+100.58+957.1+98.56+100.58+10.64+45.76</f>
        <v>2138.91</v>
      </c>
      <c r="N43" s="36">
        <f>2000+15+20.2+15+847.21+1446.7+9.081+131.44+416.58</f>
        <v>4901.210999999999</v>
      </c>
      <c r="O43" s="48">
        <f t="shared" si="1"/>
        <v>33645.8305</v>
      </c>
      <c r="P43" s="184"/>
      <c r="Q43" s="79"/>
      <c r="R43" s="79"/>
      <c r="S43" s="79"/>
      <c r="T43" s="79"/>
    </row>
    <row r="44" spans="1:20" s="12" customFormat="1" ht="12.75">
      <c r="A44" s="196"/>
      <c r="B44" s="154" t="s">
        <v>106</v>
      </c>
      <c r="C44" s="34">
        <f>6911+0.681+111+625.53+12.35+23+85+21.471+9.775+23.625+0.222+10.905</f>
        <v>7834.558999999998</v>
      </c>
      <c r="D44" s="35">
        <f>477.6+550.412+64+2891+1112+22+446.2+40+12.32+35.6+26.361</f>
        <v>5677.493</v>
      </c>
      <c r="E44" s="35">
        <f>32.71+133.6+103.9+1880+91+22+346.2+5.88+19.8+19</f>
        <v>2654.09</v>
      </c>
      <c r="F44" s="35">
        <f>128.6+33.6+4.5+312+72.71+3+1780+39.18+132+128.1+13.71+24.96</f>
        <v>2672.3599999999997</v>
      </c>
      <c r="G44" s="35">
        <f>109.9+185.2+34.93+50+91+44+37+10.15</f>
        <v>562.18</v>
      </c>
      <c r="H44" s="35">
        <f>49.14+90+199.94+186.06+52+112+376.93+104+30+3+19+72.576+100</f>
        <v>1394.646</v>
      </c>
      <c r="I44" s="35">
        <f>27.4+226.8+124.74+73+1328.5+97.41+116.3+238+12.2+136.9</f>
        <v>2381.25</v>
      </c>
      <c r="J44" s="35">
        <f>3+25.2+126+10+852+294.64+13+0.5+50.75</f>
        <v>1375.0900000000001</v>
      </c>
      <c r="K44" s="35">
        <f>216+30.24+23+15+232+162.13+4+14</f>
        <v>696.37</v>
      </c>
      <c r="L44" s="35">
        <f>118.44+753+2.151+23</f>
        <v>896.591</v>
      </c>
      <c r="M44" s="35">
        <f>638.36+23+781+50.615</f>
        <v>1492.9750000000001</v>
      </c>
      <c r="N44" s="36">
        <f>179.28+0.135+46+2734</f>
        <v>2959.415</v>
      </c>
      <c r="O44" s="48">
        <f t="shared" si="1"/>
        <v>30597.019</v>
      </c>
      <c r="P44" s="79"/>
      <c r="Q44" s="79"/>
      <c r="R44" s="79"/>
      <c r="S44" s="79"/>
      <c r="T44" s="79"/>
    </row>
    <row r="45" spans="1:20" s="12" customFormat="1" ht="12.75">
      <c r="A45" s="196"/>
      <c r="B45" s="154" t="s">
        <v>24</v>
      </c>
      <c r="C45" s="34">
        <v>0</v>
      </c>
      <c r="D45" s="35">
        <v>0.033</v>
      </c>
      <c r="E45" s="35">
        <v>0</v>
      </c>
      <c r="F45" s="35">
        <v>0.08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6">
        <v>0</v>
      </c>
      <c r="O45" s="48">
        <f t="shared" si="1"/>
        <v>0.113</v>
      </c>
      <c r="P45" s="79"/>
      <c r="Q45" s="79"/>
      <c r="R45" s="79"/>
      <c r="S45" s="79"/>
      <c r="T45" s="79"/>
    </row>
    <row r="46" spans="1:20" s="12" customFormat="1" ht="12.75">
      <c r="A46" s="196"/>
      <c r="B46" s="163" t="s">
        <v>4</v>
      </c>
      <c r="C46" s="34">
        <v>0</v>
      </c>
      <c r="D46" s="35">
        <v>0</v>
      </c>
      <c r="E46" s="35">
        <v>0</v>
      </c>
      <c r="F46" s="35">
        <v>0</v>
      </c>
      <c r="G46" s="35">
        <v>38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6">
        <v>0</v>
      </c>
      <c r="O46" s="48">
        <f t="shared" si="1"/>
        <v>38</v>
      </c>
      <c r="P46" s="79"/>
      <c r="Q46" s="79"/>
      <c r="R46" s="79"/>
      <c r="S46" s="79"/>
      <c r="T46" s="79"/>
    </row>
    <row r="47" spans="1:20" s="12" customFormat="1" ht="12.75">
      <c r="A47" s="196"/>
      <c r="B47" s="163" t="s">
        <v>94</v>
      </c>
      <c r="C47" s="34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6">
        <v>0</v>
      </c>
      <c r="O47" s="48">
        <f t="shared" si="1"/>
        <v>0</v>
      </c>
      <c r="P47" s="79"/>
      <c r="Q47" s="79"/>
      <c r="R47" s="79"/>
      <c r="S47" s="79"/>
      <c r="T47" s="79"/>
    </row>
    <row r="48" spans="1:20" s="12" customFormat="1" ht="12.75">
      <c r="A48" s="196"/>
      <c r="B48" s="163" t="s">
        <v>25</v>
      </c>
      <c r="C48" s="57">
        <v>0.312</v>
      </c>
      <c r="D48" s="37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8">
        <v>0</v>
      </c>
      <c r="O48" s="48">
        <f t="shared" si="1"/>
        <v>0.312</v>
      </c>
      <c r="P48" s="79"/>
      <c r="Q48" s="79"/>
      <c r="R48" s="79"/>
      <c r="S48" s="79"/>
      <c r="T48" s="79"/>
    </row>
    <row r="49" spans="1:20" s="12" customFormat="1" ht="12.75">
      <c r="A49" s="196"/>
      <c r="B49" s="163" t="s">
        <v>26</v>
      </c>
      <c r="C49" s="57">
        <v>0</v>
      </c>
      <c r="D49" s="37">
        <v>0.727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8">
        <v>0</v>
      </c>
      <c r="O49" s="48">
        <f t="shared" si="1"/>
        <v>0.727</v>
      </c>
      <c r="P49" s="79"/>
      <c r="Q49" s="79"/>
      <c r="R49" s="79"/>
      <c r="S49" s="79"/>
      <c r="T49" s="79"/>
    </row>
    <row r="50" spans="1:20" s="12" customFormat="1" ht="12.75">
      <c r="A50" s="196"/>
      <c r="B50" s="163" t="s">
        <v>27</v>
      </c>
      <c r="C50" s="57">
        <v>0</v>
      </c>
      <c r="D50" s="37">
        <v>0</v>
      </c>
      <c r="E50" s="37">
        <v>0</v>
      </c>
      <c r="F50" s="37">
        <v>0.434</v>
      </c>
      <c r="G50" s="37">
        <v>0.14</v>
      </c>
      <c r="H50" s="37">
        <v>0.456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8">
        <v>0</v>
      </c>
      <c r="O50" s="48">
        <f t="shared" si="1"/>
        <v>1.03</v>
      </c>
      <c r="P50" s="79"/>
      <c r="Q50" s="79"/>
      <c r="R50" s="79"/>
      <c r="S50" s="79"/>
      <c r="T50" s="79"/>
    </row>
    <row r="51" spans="1:20" s="12" customFormat="1" ht="12.75">
      <c r="A51" s="196"/>
      <c r="B51" s="163" t="s">
        <v>28</v>
      </c>
      <c r="C51" s="57">
        <v>0</v>
      </c>
      <c r="D51" s="37">
        <v>0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>
        <v>0.583</v>
      </c>
      <c r="K51" s="37">
        <v>0</v>
      </c>
      <c r="L51" s="37">
        <v>0</v>
      </c>
      <c r="M51" s="37">
        <v>0</v>
      </c>
      <c r="N51" s="38">
        <v>0</v>
      </c>
      <c r="O51" s="48">
        <f t="shared" si="1"/>
        <v>0.583</v>
      </c>
      <c r="P51" s="79"/>
      <c r="Q51" s="79"/>
      <c r="R51" s="79"/>
      <c r="S51" s="79"/>
      <c r="T51" s="79"/>
    </row>
    <row r="52" spans="1:20" s="12" customFormat="1" ht="12.75">
      <c r="A52" s="196"/>
      <c r="B52" s="163" t="s">
        <v>29</v>
      </c>
      <c r="C52" s="57">
        <v>0</v>
      </c>
      <c r="D52" s="37">
        <v>0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7">
        <v>0.162</v>
      </c>
      <c r="K52" s="37">
        <v>0</v>
      </c>
      <c r="L52" s="37">
        <v>0</v>
      </c>
      <c r="M52" s="37">
        <v>0.037</v>
      </c>
      <c r="N52" s="38">
        <v>0</v>
      </c>
      <c r="O52" s="48">
        <f t="shared" si="1"/>
        <v>0.199</v>
      </c>
      <c r="P52" s="79"/>
      <c r="Q52" s="79"/>
      <c r="R52" s="79"/>
      <c r="S52" s="79"/>
      <c r="T52" s="79"/>
    </row>
    <row r="53" spans="1:20" s="12" customFormat="1" ht="12.75">
      <c r="A53" s="196"/>
      <c r="B53" s="163" t="s">
        <v>101</v>
      </c>
      <c r="C53" s="57">
        <v>0</v>
      </c>
      <c r="D53" s="37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0.05</v>
      </c>
      <c r="L53" s="37">
        <v>0</v>
      </c>
      <c r="M53" s="37">
        <v>0</v>
      </c>
      <c r="N53" s="38">
        <v>0</v>
      </c>
      <c r="O53" s="48">
        <f t="shared" si="1"/>
        <v>0.05</v>
      </c>
      <c r="P53" s="79"/>
      <c r="Q53" s="79"/>
      <c r="R53" s="79"/>
      <c r="S53" s="79"/>
      <c r="T53" s="79"/>
    </row>
    <row r="54" spans="1:20" s="12" customFormat="1" ht="12.75">
      <c r="A54" s="196"/>
      <c r="B54" s="163" t="s">
        <v>102</v>
      </c>
      <c r="C54" s="57">
        <v>0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1.075</v>
      </c>
      <c r="L54" s="37">
        <v>0</v>
      </c>
      <c r="M54" s="37">
        <v>0</v>
      </c>
      <c r="N54" s="38">
        <v>0</v>
      </c>
      <c r="O54" s="48">
        <f t="shared" si="1"/>
        <v>1.075</v>
      </c>
      <c r="P54" s="79"/>
      <c r="Q54" s="79"/>
      <c r="R54" s="79"/>
      <c r="S54" s="79"/>
      <c r="T54" s="79"/>
    </row>
    <row r="55" spans="1:20" s="12" customFormat="1" ht="12.75">
      <c r="A55" s="196"/>
      <c r="B55" s="163" t="s">
        <v>30</v>
      </c>
      <c r="C55" s="57">
        <v>0</v>
      </c>
      <c r="D55" s="37">
        <v>0</v>
      </c>
      <c r="E55" s="37">
        <v>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0.5</v>
      </c>
      <c r="M55" s="37">
        <v>0</v>
      </c>
      <c r="N55" s="38">
        <v>0</v>
      </c>
      <c r="O55" s="48">
        <f t="shared" si="1"/>
        <v>0.5</v>
      </c>
      <c r="P55" s="79"/>
      <c r="Q55" s="79"/>
      <c r="R55" s="79"/>
      <c r="S55" s="79"/>
      <c r="T55" s="79"/>
    </row>
    <row r="56" spans="1:20" s="12" customFormat="1" ht="13.5" thickBot="1">
      <c r="A56" s="196"/>
      <c r="B56" s="162" t="s">
        <v>99</v>
      </c>
      <c r="C56" s="57">
        <v>0</v>
      </c>
      <c r="D56" s="37">
        <v>0</v>
      </c>
      <c r="E56" s="37">
        <v>0</v>
      </c>
      <c r="F56" s="37">
        <v>0</v>
      </c>
      <c r="G56" s="37">
        <v>55.5</v>
      </c>
      <c r="H56" s="37">
        <v>0</v>
      </c>
      <c r="I56" s="37">
        <v>0</v>
      </c>
      <c r="J56" s="37">
        <v>29.8</v>
      </c>
      <c r="K56" s="37">
        <v>0</v>
      </c>
      <c r="L56" s="37">
        <v>0.01</v>
      </c>
      <c r="M56" s="37">
        <v>0</v>
      </c>
      <c r="N56" s="38">
        <v>0</v>
      </c>
      <c r="O56" s="49">
        <f t="shared" si="1"/>
        <v>85.31</v>
      </c>
      <c r="P56" s="79"/>
      <c r="Q56" s="79"/>
      <c r="R56" s="79"/>
      <c r="S56" s="79"/>
      <c r="T56" s="79"/>
    </row>
    <row r="57" spans="1:20" s="12" customFormat="1" ht="21.75" thickBot="1">
      <c r="A57" s="199"/>
      <c r="B57" s="86" t="s">
        <v>31</v>
      </c>
      <c r="C57" s="74">
        <f>SUM(C7:C56)</f>
        <v>13036.828</v>
      </c>
      <c r="D57" s="96">
        <f>SUM(D7:D56)</f>
        <v>10677.774</v>
      </c>
      <c r="E57" s="96">
        <f aca="true" t="shared" si="2" ref="E57:N57">SUM(E7:E56)</f>
        <v>9267.655</v>
      </c>
      <c r="F57" s="96">
        <f t="shared" si="2"/>
        <v>8337.392</v>
      </c>
      <c r="G57" s="96">
        <f t="shared" si="2"/>
        <v>5090.286499999999</v>
      </c>
      <c r="H57" s="96">
        <f t="shared" si="2"/>
        <v>5969.8135</v>
      </c>
      <c r="I57" s="96">
        <f t="shared" si="2"/>
        <v>17092.664</v>
      </c>
      <c r="J57" s="96">
        <f t="shared" si="2"/>
        <v>7739.5830000000005</v>
      </c>
      <c r="K57" s="96">
        <f t="shared" si="2"/>
        <v>2318.412</v>
      </c>
      <c r="L57" s="96">
        <f t="shared" si="2"/>
        <v>3529.198</v>
      </c>
      <c r="M57" s="96">
        <f t="shared" si="2"/>
        <v>5927.197</v>
      </c>
      <c r="N57" s="97">
        <f t="shared" si="2"/>
        <v>12303.737000000001</v>
      </c>
      <c r="O57" s="85">
        <f t="shared" si="1"/>
        <v>101290.54000000001</v>
      </c>
      <c r="P57" s="79"/>
      <c r="Q57" s="79"/>
      <c r="R57" s="79"/>
      <c r="S57" s="79"/>
      <c r="T57" s="79"/>
    </row>
    <row r="58" spans="1:39" s="9" customFormat="1" ht="12.75">
      <c r="A58" s="14"/>
      <c r="B58" s="11"/>
      <c r="C58" s="80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1:38" s="9" customFormat="1" ht="12.75">
      <c r="A59" s="14"/>
      <c r="B59" s="11"/>
      <c r="C59" s="80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1:39" s="9" customFormat="1" ht="12.75">
      <c r="A60" s="14"/>
      <c r="B60" s="11"/>
      <c r="C60" s="80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  <row r="61" spans="1:35" s="9" customFormat="1" ht="12.75">
      <c r="A61" s="14"/>
      <c r="B61" s="11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35" s="9" customFormat="1" ht="12.75">
      <c r="A62" s="14"/>
      <c r="B62" s="11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:35" s="9" customFormat="1" ht="12.75">
      <c r="A63" s="14"/>
      <c r="B63" s="11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spans="1:39" s="9" customFormat="1" ht="12.75">
      <c r="A64" s="14"/>
      <c r="B64" s="11"/>
      <c r="C64" s="80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</row>
    <row r="65" spans="1:39" s="9" customFormat="1" ht="12.75">
      <c r="A65" s="14"/>
      <c r="B65" s="11"/>
      <c r="C65" s="80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</row>
    <row r="66" spans="1:39" s="9" customFormat="1" ht="12.75">
      <c r="A66" s="14"/>
      <c r="B66" s="11"/>
      <c r="C66" s="80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</row>
    <row r="67" spans="1:39" s="9" customFormat="1" ht="12.75">
      <c r="A67" s="14"/>
      <c r="B67" s="11"/>
      <c r="C67" s="80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</row>
    <row r="68" spans="1:39" s="9" customFormat="1" ht="12.75">
      <c r="A68" s="14"/>
      <c r="B68" s="11"/>
      <c r="C68" s="80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</row>
    <row r="69" spans="1:39" s="9" customFormat="1" ht="12.75">
      <c r="A69" s="14"/>
      <c r="B69" s="11"/>
      <c r="C69" s="80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</row>
    <row r="70" spans="1:39" s="9" customFormat="1" ht="12.75">
      <c r="A70" s="14"/>
      <c r="B70" s="11"/>
      <c r="C70" s="80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</row>
    <row r="71" spans="1:39" s="9" customFormat="1" ht="12.75">
      <c r="A71" s="14"/>
      <c r="B71" s="11"/>
      <c r="C71" s="80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</row>
    <row r="72" spans="1:39" s="9" customFormat="1" ht="12.75">
      <c r="A72" s="14"/>
      <c r="B72" s="11"/>
      <c r="C72" s="80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</row>
    <row r="73" spans="1:39" s="9" customFormat="1" ht="12.75">
      <c r="A73" s="14"/>
      <c r="B73" s="11"/>
      <c r="C73" s="80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</row>
    <row r="74" spans="1:39" s="9" customFormat="1" ht="12.75">
      <c r="A74" s="14"/>
      <c r="B74" s="11"/>
      <c r="C74" s="80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</row>
    <row r="75" spans="1:39" s="9" customFormat="1" ht="12.75">
      <c r="A75" s="14"/>
      <c r="B75" s="11"/>
      <c r="C75" s="80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</row>
    <row r="76" spans="1:39" s="9" customFormat="1" ht="12.75">
      <c r="A76" s="14"/>
      <c r="B76" s="11"/>
      <c r="C76" s="80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</row>
    <row r="77" spans="1:39" s="9" customFormat="1" ht="12.75">
      <c r="A77" s="14"/>
      <c r="B77" s="11"/>
      <c r="C77" s="80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</row>
    <row r="78" spans="1:39" s="9" customFormat="1" ht="12.75">
      <c r="A78" s="14"/>
      <c r="B78" s="11"/>
      <c r="C78" s="80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</row>
    <row r="79" spans="1:39" s="9" customFormat="1" ht="12.75">
      <c r="A79" s="14"/>
      <c r="B79" s="11"/>
      <c r="C79" s="80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</row>
    <row r="80" spans="1:39" s="9" customFormat="1" ht="12.75">
      <c r="A80" s="14"/>
      <c r="B80" s="11"/>
      <c r="C80" s="80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</row>
    <row r="81" spans="1:39" s="9" customFormat="1" ht="12.75">
      <c r="A81" s="14"/>
      <c r="B81" s="11"/>
      <c r="C81" s="80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</row>
    <row r="82" spans="1:39" s="9" customFormat="1" ht="12.75">
      <c r="A82" s="14"/>
      <c r="B82" s="11"/>
      <c r="C82" s="80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</row>
    <row r="83" spans="1:39" s="9" customFormat="1" ht="12.75">
      <c r="A83" s="14"/>
      <c r="B83" s="11"/>
      <c r="C83" s="80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</row>
    <row r="84" spans="1:39" s="9" customFormat="1" ht="12.75">
      <c r="A84" s="14"/>
      <c r="B84" s="11"/>
      <c r="C84" s="80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</row>
    <row r="85" spans="1:39" s="9" customFormat="1" ht="12.75">
      <c r="A85" s="14"/>
      <c r="B85" s="11"/>
      <c r="C85" s="80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</row>
    <row r="86" spans="1:39" s="9" customFormat="1" ht="12.75">
      <c r="A86" s="14"/>
      <c r="B86" s="11"/>
      <c r="C86" s="80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</row>
    <row r="87" spans="1:39" s="9" customFormat="1" ht="12.75">
      <c r="A87" s="14"/>
      <c r="B87" s="11"/>
      <c r="C87" s="80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</row>
    <row r="88" spans="1:39" s="9" customFormat="1" ht="12.75">
      <c r="A88" s="14"/>
      <c r="B88" s="11"/>
      <c r="C88" s="80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</row>
    <row r="89" spans="1:39" s="9" customFormat="1" ht="12.75">
      <c r="A89" s="14"/>
      <c r="B89" s="11"/>
      <c r="C89" s="80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</row>
    <row r="90" spans="1:39" s="9" customFormat="1" ht="12.75">
      <c r="A90" s="14"/>
      <c r="B90" s="11"/>
      <c r="C90" s="80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</row>
    <row r="91" spans="1:39" s="9" customFormat="1" ht="12.75">
      <c r="A91" s="14"/>
      <c r="B91" s="11"/>
      <c r="C91" s="80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</row>
    <row r="92" spans="1:39" s="9" customFormat="1" ht="12.75">
      <c r="A92" s="14"/>
      <c r="B92" s="11"/>
      <c r="C92" s="80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</row>
    <row r="93" spans="1:39" s="9" customFormat="1" ht="12.75">
      <c r="A93" s="14"/>
      <c r="B93" s="11"/>
      <c r="C93" s="80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</row>
    <row r="94" spans="1:39" s="9" customFormat="1" ht="12.75">
      <c r="A94" s="14"/>
      <c r="B94" s="11"/>
      <c r="C94" s="80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</row>
    <row r="95" spans="1:39" s="9" customFormat="1" ht="12.75">
      <c r="A95" s="14"/>
      <c r="B95" s="11"/>
      <c r="C95" s="80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</row>
    <row r="96" spans="1:39" s="9" customFormat="1" ht="12.75">
      <c r="A96" s="14"/>
      <c r="B96" s="11"/>
      <c r="C96" s="80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</row>
    <row r="97" spans="1:39" s="9" customFormat="1" ht="12.75">
      <c r="A97" s="14"/>
      <c r="B97" s="11"/>
      <c r="C97" s="80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</row>
    <row r="98" spans="1:39" s="9" customFormat="1" ht="12.75">
      <c r="A98" s="14"/>
      <c r="B98" s="11"/>
      <c r="C98" s="80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</row>
    <row r="99" spans="1:39" s="9" customFormat="1" ht="12.75">
      <c r="A99" s="14"/>
      <c r="B99" s="11"/>
      <c r="C99" s="80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</row>
    <row r="100" spans="1:39" s="9" customFormat="1" ht="12.75">
      <c r="A100" s="14"/>
      <c r="B100" s="11"/>
      <c r="C100" s="80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</row>
    <row r="101" spans="1:39" s="9" customFormat="1" ht="12.75">
      <c r="A101" s="14"/>
      <c r="B101" s="11"/>
      <c r="C101" s="80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</row>
    <row r="102" spans="1:39" s="9" customFormat="1" ht="12.75">
      <c r="A102" s="14"/>
      <c r="B102" s="11"/>
      <c r="C102" s="80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</row>
    <row r="103" spans="1:39" s="9" customFormat="1" ht="12.75">
      <c r="A103" s="14"/>
      <c r="B103" s="11"/>
      <c r="C103" s="80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</row>
    <row r="104" spans="1:39" s="9" customFormat="1" ht="12.75">
      <c r="A104" s="14"/>
      <c r="B104" s="11"/>
      <c r="C104" s="80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</row>
    <row r="105" spans="1:39" s="9" customFormat="1" ht="12.75">
      <c r="A105" s="14"/>
      <c r="B105" s="11"/>
      <c r="C105" s="80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</row>
    <row r="106" spans="1:39" s="9" customFormat="1" ht="12.75">
      <c r="A106" s="14"/>
      <c r="B106" s="11"/>
      <c r="C106" s="80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</row>
    <row r="107" spans="1:39" s="9" customFormat="1" ht="12.75">
      <c r="A107" s="14"/>
      <c r="B107" s="11"/>
      <c r="C107" s="80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</row>
    <row r="108" spans="1:39" s="9" customFormat="1" ht="12.75">
      <c r="A108" s="14"/>
      <c r="B108" s="11"/>
      <c r="C108" s="80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</row>
    <row r="109" spans="1:39" s="9" customFormat="1" ht="12.75">
      <c r="A109" s="14"/>
      <c r="B109" s="11"/>
      <c r="C109" s="80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</row>
    <row r="110" spans="1:39" s="9" customFormat="1" ht="12.75">
      <c r="A110" s="14"/>
      <c r="B110" s="11"/>
      <c r="C110" s="80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</row>
    <row r="111" spans="1:39" s="9" customFormat="1" ht="12.75">
      <c r="A111" s="14"/>
      <c r="B111" s="11"/>
      <c r="C111" s="80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</row>
    <row r="112" spans="1:39" s="9" customFormat="1" ht="12.75">
      <c r="A112" s="14"/>
      <c r="B112" s="11"/>
      <c r="C112" s="80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</row>
    <row r="113" spans="1:39" s="9" customFormat="1" ht="12.75">
      <c r="A113" s="14"/>
      <c r="B113" s="11"/>
      <c r="C113" s="80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</row>
    <row r="114" spans="1:39" s="9" customFormat="1" ht="12.75">
      <c r="A114" s="14"/>
      <c r="B114" s="11"/>
      <c r="C114" s="80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</row>
    <row r="115" spans="1:39" s="9" customFormat="1" ht="12.75">
      <c r="A115" s="14"/>
      <c r="B115" s="11"/>
      <c r="C115" s="80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</row>
    <row r="116" spans="1:39" s="9" customFormat="1" ht="12.75">
      <c r="A116" s="14"/>
      <c r="B116" s="11"/>
      <c r="C116" s="80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</row>
    <row r="117" spans="1:39" s="9" customFormat="1" ht="12.75">
      <c r="A117" s="14"/>
      <c r="B117" s="11"/>
      <c r="C117" s="80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</row>
    <row r="118" spans="1:39" s="9" customFormat="1" ht="12.75">
      <c r="A118" s="14"/>
      <c r="B118" s="11"/>
      <c r="C118" s="80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</row>
    <row r="119" spans="1:39" s="9" customFormat="1" ht="12.75">
      <c r="A119" s="14"/>
      <c r="B119" s="11"/>
      <c r="C119" s="80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</row>
    <row r="120" spans="1:39" s="9" customFormat="1" ht="12.75">
      <c r="A120" s="14"/>
      <c r="B120" s="11"/>
      <c r="C120" s="80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</row>
    <row r="121" spans="1:39" s="9" customFormat="1" ht="12.75">
      <c r="A121" s="14"/>
      <c r="B121" s="11"/>
      <c r="C121" s="80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</row>
    <row r="122" spans="1:39" s="9" customFormat="1" ht="12.75">
      <c r="A122" s="14"/>
      <c r="B122" s="11"/>
      <c r="C122" s="80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</row>
    <row r="123" spans="1:39" s="9" customFormat="1" ht="12.75">
      <c r="A123" s="14"/>
      <c r="B123" s="11"/>
      <c r="C123" s="80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</row>
    <row r="124" spans="1:39" s="9" customFormat="1" ht="12.75">
      <c r="A124" s="14"/>
      <c r="B124" s="11"/>
      <c r="C124" s="80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</row>
    <row r="125" spans="1:39" s="9" customFormat="1" ht="12.75">
      <c r="A125" s="14"/>
      <c r="B125" s="11"/>
      <c r="C125" s="80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</row>
    <row r="126" spans="1:39" s="9" customFormat="1" ht="12.75">
      <c r="A126" s="14"/>
      <c r="B126" s="11"/>
      <c r="C126" s="80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</row>
    <row r="127" spans="1:39" s="9" customFormat="1" ht="12.75">
      <c r="A127" s="14"/>
      <c r="B127" s="11"/>
      <c r="C127" s="80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</row>
    <row r="128" spans="1:39" s="9" customFormat="1" ht="12.75">
      <c r="A128" s="14"/>
      <c r="B128" s="11"/>
      <c r="C128" s="80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</row>
    <row r="129" spans="1:39" s="9" customFormat="1" ht="12.75">
      <c r="A129" s="14"/>
      <c r="B129" s="11"/>
      <c r="C129" s="80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</row>
    <row r="130" spans="1:39" s="9" customFormat="1" ht="12.75">
      <c r="A130" s="14"/>
      <c r="B130" s="11"/>
      <c r="C130" s="80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</row>
    <row r="131" spans="1:39" s="9" customFormat="1" ht="12.75">
      <c r="A131" s="14"/>
      <c r="B131" s="11"/>
      <c r="C131" s="80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</row>
    <row r="132" spans="1:39" s="9" customFormat="1" ht="12.75">
      <c r="A132" s="14"/>
      <c r="B132" s="11"/>
      <c r="C132" s="80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</row>
    <row r="133" spans="1:39" s="9" customFormat="1" ht="12.75">
      <c r="A133" s="14"/>
      <c r="B133" s="11"/>
      <c r="C133" s="80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</row>
    <row r="134" spans="1:39" s="9" customFormat="1" ht="12.75">
      <c r="A134" s="14"/>
      <c r="B134" s="11"/>
      <c r="C134" s="80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</row>
    <row r="135" spans="1:39" s="9" customFormat="1" ht="12.75">
      <c r="A135" s="14"/>
      <c r="B135" s="11"/>
      <c r="C135" s="80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</row>
    <row r="136" spans="1:39" s="9" customFormat="1" ht="12.75">
      <c r="A136" s="14"/>
      <c r="B136" s="11"/>
      <c r="C136" s="80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</row>
    <row r="137" spans="1:39" s="9" customFormat="1" ht="12.75">
      <c r="A137" s="14"/>
      <c r="B137" s="11"/>
      <c r="C137" s="80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</row>
    <row r="138" spans="1:39" s="9" customFormat="1" ht="12.75">
      <c r="A138" s="14"/>
      <c r="B138" s="11"/>
      <c r="C138" s="80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</row>
    <row r="139" spans="1:39" s="9" customFormat="1" ht="12.75">
      <c r="A139" s="14"/>
      <c r="B139" s="11"/>
      <c r="C139" s="80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</row>
    <row r="140" spans="1:39" s="9" customFormat="1" ht="12.75">
      <c r="A140" s="14"/>
      <c r="B140" s="11"/>
      <c r="C140" s="80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</row>
    <row r="141" spans="1:39" s="9" customFormat="1" ht="12.75">
      <c r="A141" s="14"/>
      <c r="B141" s="11"/>
      <c r="C141" s="80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</row>
    <row r="142" spans="1:39" s="9" customFormat="1" ht="12.75">
      <c r="A142" s="14"/>
      <c r="B142" s="11"/>
      <c r="C142" s="80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</row>
    <row r="143" spans="1:39" s="9" customFormat="1" ht="12.75">
      <c r="A143" s="14"/>
      <c r="B143" s="11"/>
      <c r="C143" s="80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</row>
    <row r="144" spans="1:39" s="9" customFormat="1" ht="12.75">
      <c r="A144" s="14"/>
      <c r="B144" s="11"/>
      <c r="C144" s="80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</row>
    <row r="145" spans="1:39" s="9" customFormat="1" ht="12.75">
      <c r="A145" s="14"/>
      <c r="B145" s="11"/>
      <c r="C145" s="80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</row>
    <row r="146" spans="1:39" s="9" customFormat="1" ht="12.75">
      <c r="A146" s="14"/>
      <c r="B146" s="11"/>
      <c r="C146" s="80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</row>
    <row r="147" spans="1:39" s="9" customFormat="1" ht="12.75">
      <c r="A147" s="14"/>
      <c r="B147" s="11"/>
      <c r="C147" s="80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</row>
    <row r="148" spans="1:39" s="9" customFormat="1" ht="12.75">
      <c r="A148" s="14"/>
      <c r="B148" s="11"/>
      <c r="C148" s="80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</row>
    <row r="149" spans="1:39" s="9" customFormat="1" ht="12.75">
      <c r="A149" s="14"/>
      <c r="B149" s="11"/>
      <c r="C149" s="80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</row>
    <row r="150" spans="1:39" s="9" customFormat="1" ht="12.75">
      <c r="A150" s="14"/>
      <c r="B150" s="11"/>
      <c r="C150" s="80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</row>
    <row r="151" spans="1:39" s="9" customFormat="1" ht="12.75">
      <c r="A151" s="14"/>
      <c r="B151" s="11"/>
      <c r="C151" s="80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</row>
    <row r="152" spans="1:39" s="9" customFormat="1" ht="12.75">
      <c r="A152" s="14"/>
      <c r="B152" s="11"/>
      <c r="C152" s="80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</row>
    <row r="153" spans="1:39" s="9" customFormat="1" ht="12.75">
      <c r="A153" s="14"/>
      <c r="B153" s="11"/>
      <c r="C153" s="80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</row>
    <row r="154" spans="1:39" s="9" customFormat="1" ht="12.75">
      <c r="A154" s="14"/>
      <c r="B154" s="11"/>
      <c r="C154" s="80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</row>
    <row r="155" spans="1:39" s="9" customFormat="1" ht="12.75">
      <c r="A155" s="14"/>
      <c r="B155" s="11"/>
      <c r="C155" s="80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</row>
    <row r="156" spans="1:39" s="9" customFormat="1" ht="12.75">
      <c r="A156" s="14"/>
      <c r="B156" s="11"/>
      <c r="C156" s="80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</row>
    <row r="157" spans="1:39" s="9" customFormat="1" ht="12.75">
      <c r="A157" s="14"/>
      <c r="B157" s="11"/>
      <c r="C157" s="80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</row>
    <row r="158" spans="1:39" s="9" customFormat="1" ht="12.75">
      <c r="A158" s="14"/>
      <c r="B158" s="11"/>
      <c r="C158" s="80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</row>
    <row r="159" spans="1:39" s="9" customFormat="1" ht="12.75">
      <c r="A159" s="14"/>
      <c r="B159" s="11"/>
      <c r="C159" s="80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</row>
    <row r="160" spans="1:39" s="9" customFormat="1" ht="12.75">
      <c r="A160" s="14"/>
      <c r="B160" s="11"/>
      <c r="C160" s="80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</row>
    <row r="161" spans="1:39" s="9" customFormat="1" ht="12.75">
      <c r="A161" s="14"/>
      <c r="B161" s="11"/>
      <c r="C161" s="80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</row>
    <row r="162" spans="1:39" s="9" customFormat="1" ht="12.75">
      <c r="A162" s="14"/>
      <c r="B162" s="11"/>
      <c r="C162" s="80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</row>
    <row r="163" spans="1:39" s="9" customFormat="1" ht="12.75">
      <c r="A163" s="14"/>
      <c r="B163" s="11"/>
      <c r="C163" s="80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</row>
    <row r="164" spans="1:39" s="9" customFormat="1" ht="12.75">
      <c r="A164" s="14"/>
      <c r="B164" s="11"/>
      <c r="C164" s="80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</row>
    <row r="165" spans="1:39" s="9" customFormat="1" ht="12.75">
      <c r="A165" s="14"/>
      <c r="B165" s="11"/>
      <c r="C165" s="80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</row>
    <row r="166" spans="1:39" s="9" customFormat="1" ht="12.75">
      <c r="A166" s="14"/>
      <c r="B166" s="11"/>
      <c r="C166" s="80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</row>
    <row r="167" spans="1:39" s="9" customFormat="1" ht="12.75">
      <c r="A167" s="14"/>
      <c r="B167" s="11"/>
      <c r="C167" s="80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</row>
    <row r="168" spans="1:39" s="9" customFormat="1" ht="12.75">
      <c r="A168" s="14"/>
      <c r="B168" s="11"/>
      <c r="C168" s="80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</row>
    <row r="169" spans="1:39" s="9" customFormat="1" ht="12.75">
      <c r="A169" s="14"/>
      <c r="B169" s="11"/>
      <c r="C169" s="80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</row>
    <row r="170" spans="1:39" s="9" customFormat="1" ht="12.75">
      <c r="A170" s="14"/>
      <c r="B170" s="11"/>
      <c r="C170" s="80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</row>
    <row r="171" spans="1:39" s="9" customFormat="1" ht="12.75">
      <c r="A171" s="14"/>
      <c r="B171" s="11"/>
      <c r="C171" s="80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</row>
    <row r="172" spans="1:39" s="9" customFormat="1" ht="12.75">
      <c r="A172" s="14"/>
      <c r="B172" s="11"/>
      <c r="C172" s="80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</row>
    <row r="173" spans="1:39" s="9" customFormat="1" ht="12.75">
      <c r="A173" s="14"/>
      <c r="B173" s="11"/>
      <c r="C173" s="80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</row>
    <row r="174" spans="1:39" s="9" customFormat="1" ht="12.75">
      <c r="A174" s="14"/>
      <c r="B174" s="11"/>
      <c r="C174" s="80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</row>
    <row r="175" spans="1:39" s="9" customFormat="1" ht="12.75">
      <c r="A175" s="14"/>
      <c r="B175" s="11"/>
      <c r="C175" s="80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</row>
    <row r="176" spans="1:39" s="9" customFormat="1" ht="12.75">
      <c r="A176" s="14"/>
      <c r="B176" s="11"/>
      <c r="C176" s="80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</row>
    <row r="177" spans="1:39" s="9" customFormat="1" ht="12.75">
      <c r="A177" s="14"/>
      <c r="B177" s="11"/>
      <c r="C177" s="80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</row>
    <row r="178" spans="1:39" s="9" customFormat="1" ht="12.75">
      <c r="A178" s="14"/>
      <c r="B178" s="11"/>
      <c r="C178" s="80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</row>
    <row r="179" spans="1:39" s="9" customFormat="1" ht="12.75">
      <c r="A179" s="14"/>
      <c r="B179" s="11"/>
      <c r="C179" s="80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</row>
    <row r="180" spans="1:39" s="9" customFormat="1" ht="12.75">
      <c r="A180" s="14"/>
      <c r="B180" s="11"/>
      <c r="C180" s="80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</row>
    <row r="181" spans="1:39" s="9" customFormat="1" ht="12.75">
      <c r="A181" s="14"/>
      <c r="B181" s="11"/>
      <c r="C181" s="80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</row>
    <row r="182" spans="1:39" s="9" customFormat="1" ht="12.75">
      <c r="A182" s="14"/>
      <c r="B182" s="11"/>
      <c r="C182" s="80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</row>
    <row r="183" spans="1:39" s="9" customFormat="1" ht="12.75">
      <c r="A183" s="14"/>
      <c r="B183" s="11"/>
      <c r="C183" s="80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</row>
    <row r="184" spans="1:39" s="9" customFormat="1" ht="12.75">
      <c r="A184" s="14"/>
      <c r="B184" s="11"/>
      <c r="C184" s="80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</row>
    <row r="185" spans="1:39" s="9" customFormat="1" ht="12.75">
      <c r="A185" s="14"/>
      <c r="B185" s="11"/>
      <c r="C185" s="80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</row>
    <row r="186" spans="1:39" s="9" customFormat="1" ht="12.75">
      <c r="A186" s="14"/>
      <c r="B186" s="11"/>
      <c r="C186" s="80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</row>
    <row r="187" spans="1:39" s="9" customFormat="1" ht="12.75">
      <c r="A187" s="14"/>
      <c r="B187" s="11"/>
      <c r="C187" s="80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</row>
    <row r="188" spans="1:39" s="9" customFormat="1" ht="12.75">
      <c r="A188" s="14"/>
      <c r="B188" s="11"/>
      <c r="C188" s="80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</row>
    <row r="189" spans="1:39" s="9" customFormat="1" ht="12.75">
      <c r="A189" s="14"/>
      <c r="B189" s="11"/>
      <c r="C189" s="80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</row>
    <row r="190" spans="1:39" s="9" customFormat="1" ht="12.75">
      <c r="A190" s="14"/>
      <c r="B190" s="11"/>
      <c r="C190" s="80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</row>
    <row r="191" spans="1:39" s="9" customFormat="1" ht="12.75">
      <c r="A191" s="14"/>
      <c r="B191" s="11"/>
      <c r="C191" s="80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</row>
    <row r="192" spans="1:39" s="9" customFormat="1" ht="12.75">
      <c r="A192" s="14"/>
      <c r="B192" s="11"/>
      <c r="C192" s="80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</row>
    <row r="193" spans="1:39" s="9" customFormat="1" ht="12.75">
      <c r="A193" s="14"/>
      <c r="B193" s="11"/>
      <c r="C193" s="80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</row>
    <row r="194" spans="1:39" s="9" customFormat="1" ht="12.75">
      <c r="A194" s="14"/>
      <c r="B194" s="11"/>
      <c r="C194" s="80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</row>
    <row r="195" spans="1:39" s="9" customFormat="1" ht="12.75">
      <c r="A195" s="14"/>
      <c r="B195" s="11"/>
      <c r="C195" s="80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</row>
    <row r="196" spans="1:39" s="9" customFormat="1" ht="12.75">
      <c r="A196" s="14"/>
      <c r="B196" s="11"/>
      <c r="C196" s="80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</row>
    <row r="197" spans="1:39" s="9" customFormat="1" ht="12.75">
      <c r="A197" s="14"/>
      <c r="B197" s="11"/>
      <c r="C197" s="80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</row>
    <row r="198" spans="1:39" s="9" customFormat="1" ht="12.75">
      <c r="A198" s="14"/>
      <c r="B198" s="11"/>
      <c r="C198" s="80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</row>
    <row r="199" spans="1:39" s="9" customFormat="1" ht="12.75">
      <c r="A199" s="14"/>
      <c r="B199" s="11"/>
      <c r="C199" s="80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</row>
    <row r="200" spans="1:39" s="9" customFormat="1" ht="12.75">
      <c r="A200" s="14"/>
      <c r="B200" s="11"/>
      <c r="C200" s="80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</row>
    <row r="201" spans="1:39" s="9" customFormat="1" ht="12.75">
      <c r="A201" s="14"/>
      <c r="B201" s="11"/>
      <c r="C201" s="80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</row>
    <row r="202" spans="1:39" s="9" customFormat="1" ht="12.75">
      <c r="A202" s="14"/>
      <c r="B202" s="11"/>
      <c r="C202" s="80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</row>
    <row r="203" spans="1:39" s="9" customFormat="1" ht="12.75">
      <c r="A203" s="14"/>
      <c r="B203" s="11"/>
      <c r="C203" s="80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</row>
    <row r="204" spans="1:39" s="9" customFormat="1" ht="12.75">
      <c r="A204" s="14"/>
      <c r="B204" s="11"/>
      <c r="C204" s="80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</row>
    <row r="205" spans="1:39" s="9" customFormat="1" ht="12.75">
      <c r="A205" s="14"/>
      <c r="B205" s="11"/>
      <c r="C205" s="80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</row>
    <row r="206" spans="1:39" s="9" customFormat="1" ht="12.75">
      <c r="A206" s="14"/>
      <c r="B206" s="11"/>
      <c r="C206" s="80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</row>
    <row r="207" spans="1:39" s="9" customFormat="1" ht="12.75">
      <c r="A207" s="14"/>
      <c r="B207" s="11"/>
      <c r="C207" s="80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</row>
    <row r="208" spans="1:39" s="9" customFormat="1" ht="12.75">
      <c r="A208" s="14"/>
      <c r="B208" s="11"/>
      <c r="C208" s="80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</row>
    <row r="209" spans="1:39" s="9" customFormat="1" ht="12.75">
      <c r="A209" s="14"/>
      <c r="B209" s="11"/>
      <c r="C209" s="80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</row>
    <row r="210" spans="1:39" s="9" customFormat="1" ht="12.75">
      <c r="A210" s="14"/>
      <c r="B210" s="11"/>
      <c r="C210" s="80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</row>
    <row r="211" spans="1:39" s="9" customFormat="1" ht="12.75">
      <c r="A211" s="14"/>
      <c r="B211" s="11"/>
      <c r="C211" s="80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</row>
    <row r="212" spans="1:39" s="9" customFormat="1" ht="12.75">
      <c r="A212" s="14"/>
      <c r="B212" s="11"/>
      <c r="C212" s="80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</row>
    <row r="213" spans="1:39" s="9" customFormat="1" ht="12.75">
      <c r="A213" s="14"/>
      <c r="B213" s="11"/>
      <c r="C213" s="80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</row>
    <row r="214" spans="1:39" s="9" customFormat="1" ht="12.75">
      <c r="A214" s="14"/>
      <c r="B214" s="11"/>
      <c r="C214" s="80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</row>
    <row r="215" spans="1:39" s="9" customFormat="1" ht="12.75">
      <c r="A215" s="14"/>
      <c r="B215" s="11"/>
      <c r="C215" s="80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</row>
    <row r="216" spans="1:39" s="9" customFormat="1" ht="12.75">
      <c r="A216" s="14"/>
      <c r="B216" s="11"/>
      <c r="C216" s="80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</row>
    <row r="217" spans="1:39" s="9" customFormat="1" ht="12.75">
      <c r="A217" s="14"/>
      <c r="B217" s="11"/>
      <c r="C217" s="80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</row>
    <row r="218" spans="1:39" s="9" customFormat="1" ht="12.75">
      <c r="A218" s="14"/>
      <c r="B218" s="11"/>
      <c r="C218" s="80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</row>
    <row r="219" spans="1:39" s="9" customFormat="1" ht="12.75">
      <c r="A219" s="14"/>
      <c r="B219" s="11"/>
      <c r="C219" s="80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</row>
    <row r="220" spans="1:39" s="9" customFormat="1" ht="12.75">
      <c r="A220" s="14"/>
      <c r="B220" s="11"/>
      <c r="C220" s="80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</row>
    <row r="221" spans="1:39" s="9" customFormat="1" ht="12.75">
      <c r="A221" s="14"/>
      <c r="B221" s="11"/>
      <c r="C221" s="80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</row>
    <row r="222" spans="1:39" s="9" customFormat="1" ht="12.75">
      <c r="A222" s="14"/>
      <c r="B222" s="11"/>
      <c r="C222" s="80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</row>
    <row r="223" spans="1:39" s="9" customFormat="1" ht="12.75">
      <c r="A223" s="14"/>
      <c r="B223" s="11"/>
      <c r="C223" s="80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</row>
    <row r="224" spans="1:39" s="9" customFormat="1" ht="12.75">
      <c r="A224" s="14"/>
      <c r="B224" s="11"/>
      <c r="C224" s="80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</row>
    <row r="225" spans="1:39" s="9" customFormat="1" ht="12.75">
      <c r="A225" s="14"/>
      <c r="B225" s="11"/>
      <c r="C225" s="80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</row>
    <row r="226" spans="1:39" s="9" customFormat="1" ht="12.75">
      <c r="A226" s="14"/>
      <c r="B226" s="11"/>
      <c r="C226" s="80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</row>
    <row r="227" spans="1:39" s="9" customFormat="1" ht="12.75">
      <c r="A227" s="14"/>
      <c r="B227" s="11"/>
      <c r="C227" s="80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</row>
    <row r="228" spans="1:39" s="9" customFormat="1" ht="12.75">
      <c r="A228" s="14"/>
      <c r="B228" s="11"/>
      <c r="C228" s="80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</row>
    <row r="229" spans="1:39" s="9" customFormat="1" ht="12.75">
      <c r="A229" s="14"/>
      <c r="B229" s="11"/>
      <c r="C229" s="80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</row>
    <row r="230" spans="1:39" s="9" customFormat="1" ht="12.75">
      <c r="A230" s="14"/>
      <c r="B230" s="11"/>
      <c r="C230" s="80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</row>
    <row r="231" spans="1:39" s="9" customFormat="1" ht="12.75">
      <c r="A231" s="14"/>
      <c r="B231" s="11"/>
      <c r="C231" s="80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</row>
    <row r="232" spans="1:39" s="9" customFormat="1" ht="12.75">
      <c r="A232" s="14"/>
      <c r="B232" s="11"/>
      <c r="C232" s="80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</row>
    <row r="233" spans="1:39" s="9" customFormat="1" ht="12.75">
      <c r="A233" s="14"/>
      <c r="B233" s="11"/>
      <c r="C233" s="80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</row>
    <row r="234" spans="1:39" s="9" customFormat="1" ht="12.75">
      <c r="A234" s="14"/>
      <c r="B234" s="11"/>
      <c r="C234" s="80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</row>
    <row r="235" spans="1:39" s="9" customFormat="1" ht="12.75">
      <c r="A235" s="14"/>
      <c r="B235" s="11"/>
      <c r="C235" s="80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</row>
    <row r="236" spans="1:39" s="9" customFormat="1" ht="12.75">
      <c r="A236" s="14"/>
      <c r="B236" s="11"/>
      <c r="C236" s="80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</row>
    <row r="237" spans="1:39" s="9" customFormat="1" ht="12.75">
      <c r="A237" s="14"/>
      <c r="B237" s="11"/>
      <c r="C237" s="80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</row>
    <row r="238" spans="1:39" s="9" customFormat="1" ht="12.75">
      <c r="A238" s="14"/>
      <c r="B238" s="11"/>
      <c r="C238" s="80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</row>
    <row r="239" spans="1:39" s="9" customFormat="1" ht="12.75">
      <c r="A239" s="14"/>
      <c r="B239" s="11"/>
      <c r="C239" s="80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</row>
    <row r="240" spans="1:39" s="9" customFormat="1" ht="12.75">
      <c r="A240" s="14"/>
      <c r="B240" s="11"/>
      <c r="C240" s="80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</row>
    <row r="241" spans="1:39" s="9" customFormat="1" ht="12.75">
      <c r="A241" s="14"/>
      <c r="B241" s="11"/>
      <c r="C241" s="80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</row>
    <row r="242" spans="1:39" s="9" customFormat="1" ht="12.75">
      <c r="A242" s="14"/>
      <c r="B242" s="11"/>
      <c r="C242" s="80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</row>
    <row r="243" spans="1:39" s="9" customFormat="1" ht="12.75">
      <c r="A243" s="14"/>
      <c r="B243" s="11"/>
      <c r="C243" s="80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</row>
    <row r="244" spans="1:39" s="9" customFormat="1" ht="12.75">
      <c r="A244" s="14"/>
      <c r="B244" s="11"/>
      <c r="C244" s="80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</row>
    <row r="245" spans="1:39" s="9" customFormat="1" ht="12.75">
      <c r="A245" s="14"/>
      <c r="B245" s="11"/>
      <c r="C245" s="80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</row>
    <row r="246" spans="1:39" s="9" customFormat="1" ht="12.75">
      <c r="A246" s="14"/>
      <c r="B246" s="11"/>
      <c r="C246" s="80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</row>
    <row r="247" spans="1:39" s="9" customFormat="1" ht="12.75">
      <c r="A247" s="14"/>
      <c r="B247" s="11"/>
      <c r="C247" s="80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</row>
    <row r="248" spans="1:39" s="9" customFormat="1" ht="12.75">
      <c r="A248" s="14"/>
      <c r="B248" s="11"/>
      <c r="C248" s="80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</row>
    <row r="249" spans="1:39" s="9" customFormat="1" ht="12.75">
      <c r="A249" s="14"/>
      <c r="B249" s="11"/>
      <c r="C249" s="80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</row>
    <row r="250" spans="1:39" s="9" customFormat="1" ht="12.75">
      <c r="A250" s="14"/>
      <c r="B250" s="11"/>
      <c r="C250" s="80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</row>
    <row r="251" spans="1:39" s="9" customFormat="1" ht="12.75">
      <c r="A251" s="14"/>
      <c r="B251" s="11"/>
      <c r="C251" s="80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</row>
    <row r="252" spans="1:39" s="9" customFormat="1" ht="12.75">
      <c r="A252" s="14"/>
      <c r="B252" s="11"/>
      <c r="C252" s="80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</row>
    <row r="253" spans="1:39" s="9" customFormat="1" ht="12.75">
      <c r="A253" s="14"/>
      <c r="B253" s="11"/>
      <c r="C253" s="80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</row>
    <row r="254" spans="1:39" s="9" customFormat="1" ht="12.75">
      <c r="A254" s="14"/>
      <c r="B254" s="11"/>
      <c r="C254" s="80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</row>
    <row r="255" spans="1:39" s="9" customFormat="1" ht="12.75">
      <c r="A255" s="14"/>
      <c r="B255" s="11"/>
      <c r="C255" s="80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</row>
    <row r="256" spans="1:39" s="9" customFormat="1" ht="12.75">
      <c r="A256" s="14"/>
      <c r="B256" s="11"/>
      <c r="C256" s="80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</row>
    <row r="257" spans="1:39" s="9" customFormat="1" ht="12.75">
      <c r="A257" s="14"/>
      <c r="B257" s="11"/>
      <c r="C257" s="80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</row>
    <row r="258" spans="1:39" s="9" customFormat="1" ht="12.75">
      <c r="A258" s="14"/>
      <c r="B258" s="11"/>
      <c r="C258" s="80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</row>
    <row r="259" spans="1:39" s="9" customFormat="1" ht="12.75">
      <c r="A259" s="14"/>
      <c r="B259" s="11"/>
      <c r="C259" s="80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</row>
    <row r="260" spans="1:39" s="9" customFormat="1" ht="12.75">
      <c r="A260" s="14"/>
      <c r="B260" s="11"/>
      <c r="C260" s="80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</row>
    <row r="261" spans="1:39" s="9" customFormat="1" ht="12.75">
      <c r="A261" s="14"/>
      <c r="B261" s="11"/>
      <c r="C261" s="80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</row>
    <row r="262" spans="1:39" s="9" customFormat="1" ht="12.75">
      <c r="A262" s="14"/>
      <c r="B262" s="11"/>
      <c r="C262" s="80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</row>
    <row r="263" spans="1:39" s="9" customFormat="1" ht="12.75">
      <c r="A263" s="14"/>
      <c r="B263" s="11"/>
      <c r="C263" s="80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</row>
    <row r="264" spans="1:39" s="9" customFormat="1" ht="12.75">
      <c r="A264" s="14"/>
      <c r="B264" s="11"/>
      <c r="C264" s="80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</row>
    <row r="265" spans="1:39" s="9" customFormat="1" ht="12.75">
      <c r="A265" s="14"/>
      <c r="B265" s="11"/>
      <c r="C265" s="80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</row>
    <row r="266" spans="1:39" s="9" customFormat="1" ht="12.75">
      <c r="A266" s="14"/>
      <c r="B266" s="11"/>
      <c r="C266" s="80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</row>
    <row r="267" spans="1:39" s="9" customFormat="1" ht="12.75">
      <c r="A267" s="14"/>
      <c r="B267" s="11"/>
      <c r="C267" s="80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</row>
    <row r="268" spans="1:39" s="9" customFormat="1" ht="12.75">
      <c r="A268" s="14"/>
      <c r="B268" s="11"/>
      <c r="C268" s="80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</row>
    <row r="269" spans="1:39" s="9" customFormat="1" ht="12.75">
      <c r="A269" s="14"/>
      <c r="B269" s="11"/>
      <c r="C269" s="80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</row>
    <row r="270" spans="1:39" s="9" customFormat="1" ht="12.75">
      <c r="A270" s="14"/>
      <c r="B270" s="11"/>
      <c r="C270" s="80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</row>
    <row r="271" spans="1:39" s="9" customFormat="1" ht="12.75">
      <c r="A271" s="14"/>
      <c r="B271" s="11"/>
      <c r="C271" s="80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</row>
    <row r="272" spans="1:39" s="9" customFormat="1" ht="12.75">
      <c r="A272" s="14"/>
      <c r="B272" s="11"/>
      <c r="C272" s="80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</row>
    <row r="273" spans="1:39" s="9" customFormat="1" ht="12.75">
      <c r="A273" s="14"/>
      <c r="B273" s="11"/>
      <c r="C273" s="80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</row>
    <row r="274" spans="1:39" s="9" customFormat="1" ht="12.75">
      <c r="A274" s="14"/>
      <c r="B274" s="11"/>
      <c r="C274" s="80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</row>
    <row r="275" spans="1:39" s="9" customFormat="1" ht="12.75">
      <c r="A275" s="14"/>
      <c r="B275" s="11"/>
      <c r="C275" s="80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</row>
    <row r="276" spans="1:39" s="9" customFormat="1" ht="12.75">
      <c r="A276" s="14"/>
      <c r="B276" s="11"/>
      <c r="C276" s="80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</row>
    <row r="277" spans="1:39" s="9" customFormat="1" ht="12.75">
      <c r="A277" s="14"/>
      <c r="B277" s="11"/>
      <c r="C277" s="80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</row>
    <row r="278" spans="1:39" s="9" customFormat="1" ht="12.75">
      <c r="A278" s="14"/>
      <c r="B278" s="11"/>
      <c r="C278" s="80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</row>
    <row r="279" spans="1:39" s="9" customFormat="1" ht="12.75">
      <c r="A279" s="14"/>
      <c r="B279" s="11"/>
      <c r="C279" s="80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</row>
    <row r="280" spans="1:39" s="9" customFormat="1" ht="12.75">
      <c r="A280" s="14"/>
      <c r="B280" s="11"/>
      <c r="C280" s="80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</row>
    <row r="281" spans="1:39" s="9" customFormat="1" ht="12.75">
      <c r="A281" s="14"/>
      <c r="B281" s="11"/>
      <c r="C281" s="80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</row>
    <row r="282" spans="1:39" s="9" customFormat="1" ht="12.75">
      <c r="A282" s="14"/>
      <c r="B282" s="11"/>
      <c r="C282" s="80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</row>
    <row r="283" spans="1:39" s="9" customFormat="1" ht="12.75">
      <c r="A283" s="14"/>
      <c r="B283" s="11"/>
      <c r="C283" s="80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</row>
    <row r="284" spans="1:39" s="9" customFormat="1" ht="12.75">
      <c r="A284" s="14"/>
      <c r="B284" s="11"/>
      <c r="C284" s="80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</row>
    <row r="285" spans="1:39" s="9" customFormat="1" ht="12.75">
      <c r="A285" s="14"/>
      <c r="B285" s="11"/>
      <c r="C285" s="80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</row>
    <row r="286" spans="1:39" s="9" customFormat="1" ht="12.75">
      <c r="A286" s="14"/>
      <c r="B286" s="11"/>
      <c r="C286" s="80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</row>
    <row r="287" spans="1:39" s="9" customFormat="1" ht="12.75">
      <c r="A287" s="14"/>
      <c r="B287" s="11"/>
      <c r="C287" s="80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</row>
    <row r="288" spans="1:39" s="9" customFormat="1" ht="12.75">
      <c r="A288" s="14"/>
      <c r="B288" s="11"/>
      <c r="C288" s="80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</row>
    <row r="289" spans="1:39" s="9" customFormat="1" ht="12.75">
      <c r="A289" s="14"/>
      <c r="B289" s="11"/>
      <c r="C289" s="80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</row>
    <row r="290" spans="1:39" s="9" customFormat="1" ht="12.75">
      <c r="A290" s="14"/>
      <c r="B290" s="11"/>
      <c r="C290" s="80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</row>
    <row r="291" spans="1:39" s="9" customFormat="1" ht="12.75">
      <c r="A291" s="14"/>
      <c r="B291" s="11"/>
      <c r="C291" s="80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</row>
    <row r="292" spans="1:39" s="9" customFormat="1" ht="12.75">
      <c r="A292" s="14"/>
      <c r="B292" s="11"/>
      <c r="C292" s="80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</row>
    <row r="293" spans="1:39" s="9" customFormat="1" ht="12.75">
      <c r="A293" s="14"/>
      <c r="B293" s="11"/>
      <c r="C293" s="80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</row>
    <row r="294" spans="1:39" s="9" customFormat="1" ht="12.75">
      <c r="A294" s="14"/>
      <c r="B294" s="11"/>
      <c r="C294" s="80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</row>
    <row r="295" spans="1:39" s="9" customFormat="1" ht="12.75">
      <c r="A295" s="14"/>
      <c r="B295" s="11"/>
      <c r="C295" s="80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</row>
    <row r="296" spans="1:39" s="9" customFormat="1" ht="12.75">
      <c r="A296" s="14"/>
      <c r="B296" s="11"/>
      <c r="C296" s="80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</row>
    <row r="297" spans="1:39" s="9" customFormat="1" ht="12.75">
      <c r="A297" s="14"/>
      <c r="B297" s="11"/>
      <c r="C297" s="80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</row>
    <row r="298" spans="1:39" s="9" customFormat="1" ht="12.75">
      <c r="A298" s="14"/>
      <c r="B298" s="11"/>
      <c r="C298" s="80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</row>
    <row r="299" spans="1:39" s="9" customFormat="1" ht="12.75">
      <c r="A299" s="14"/>
      <c r="B299" s="11"/>
      <c r="C299" s="80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</row>
    <row r="300" spans="1:39" s="9" customFormat="1" ht="12.75">
      <c r="A300" s="14"/>
      <c r="B300" s="11"/>
      <c r="C300" s="80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</row>
    <row r="301" spans="1:39" s="9" customFormat="1" ht="12.75">
      <c r="A301" s="14"/>
      <c r="B301" s="11"/>
      <c r="C301" s="80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</row>
    <row r="302" spans="1:39" s="9" customFormat="1" ht="12.75">
      <c r="A302" s="14"/>
      <c r="B302" s="11"/>
      <c r="C302" s="80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</row>
    <row r="303" spans="1:39" s="9" customFormat="1" ht="12.75">
      <c r="A303" s="14"/>
      <c r="B303" s="11"/>
      <c r="C303" s="80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</row>
    <row r="304" spans="1:39" s="9" customFormat="1" ht="12.75">
      <c r="A304" s="14"/>
      <c r="B304" s="11"/>
      <c r="C304" s="80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</row>
    <row r="305" spans="1:39" s="9" customFormat="1" ht="12.75">
      <c r="A305" s="14"/>
      <c r="B305" s="11"/>
      <c r="C305" s="80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</row>
    <row r="306" spans="1:39" s="9" customFormat="1" ht="12.75">
      <c r="A306" s="14"/>
      <c r="B306" s="11"/>
      <c r="C306" s="80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</row>
    <row r="307" spans="1:39" s="9" customFormat="1" ht="12.75">
      <c r="A307" s="14"/>
      <c r="B307" s="11"/>
      <c r="C307" s="80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</row>
    <row r="308" spans="1:39" s="9" customFormat="1" ht="12.75">
      <c r="A308" s="14"/>
      <c r="B308" s="11"/>
      <c r="C308" s="80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</row>
    <row r="309" spans="1:39" s="9" customFormat="1" ht="12.75">
      <c r="A309" s="14"/>
      <c r="B309" s="11"/>
      <c r="C309" s="80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</row>
    <row r="310" spans="1:39" s="9" customFormat="1" ht="12.75">
      <c r="A310" s="14"/>
      <c r="B310" s="11"/>
      <c r="C310" s="80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</row>
    <row r="311" spans="1:39" s="9" customFormat="1" ht="12.75">
      <c r="A311" s="14"/>
      <c r="B311" s="11"/>
      <c r="C311" s="80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</row>
    <row r="312" spans="1:39" s="9" customFormat="1" ht="12.75">
      <c r="A312" s="14"/>
      <c r="B312" s="11"/>
      <c r="C312" s="80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</row>
    <row r="313" spans="1:39" s="9" customFormat="1" ht="12.75">
      <c r="A313" s="14"/>
      <c r="B313" s="11"/>
      <c r="C313" s="80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</row>
    <row r="314" spans="1:39" s="9" customFormat="1" ht="12.75">
      <c r="A314" s="14"/>
      <c r="B314" s="11"/>
      <c r="C314" s="80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</row>
    <row r="315" spans="1:39" s="9" customFormat="1" ht="12.75">
      <c r="A315" s="14"/>
      <c r="B315" s="11"/>
      <c r="C315" s="80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</row>
    <row r="316" spans="1:39" s="9" customFormat="1" ht="12.75">
      <c r="A316" s="14"/>
      <c r="B316" s="11"/>
      <c r="C316" s="80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</row>
    <row r="317" spans="1:39" s="9" customFormat="1" ht="12.75">
      <c r="A317" s="14"/>
      <c r="B317" s="11"/>
      <c r="C317" s="80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</row>
    <row r="318" spans="1:39" s="9" customFormat="1" ht="12.75">
      <c r="A318" s="14"/>
      <c r="B318" s="11"/>
      <c r="C318" s="80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</row>
    <row r="319" spans="1:39" s="9" customFormat="1" ht="12.75">
      <c r="A319" s="14"/>
      <c r="B319" s="11"/>
      <c r="C319" s="80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</row>
    <row r="320" spans="1:39" s="9" customFormat="1" ht="12.75">
      <c r="A320" s="14"/>
      <c r="B320" s="11"/>
      <c r="C320" s="80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</row>
    <row r="321" spans="1:39" s="9" customFormat="1" ht="12.75">
      <c r="A321" s="14"/>
      <c r="B321" s="11"/>
      <c r="C321" s="80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</row>
    <row r="322" spans="1:39" s="9" customFormat="1" ht="12.75">
      <c r="A322" s="14"/>
      <c r="B322" s="11"/>
      <c r="C322" s="80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</row>
    <row r="323" spans="1:39" s="9" customFormat="1" ht="12.75">
      <c r="A323" s="14"/>
      <c r="B323" s="11"/>
      <c r="C323" s="80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</row>
    <row r="324" spans="1:39" s="9" customFormat="1" ht="12.75">
      <c r="A324" s="14"/>
      <c r="B324" s="11"/>
      <c r="C324" s="80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</row>
    <row r="325" spans="1:39" s="9" customFormat="1" ht="12.75">
      <c r="A325" s="14"/>
      <c r="B325" s="11"/>
      <c r="C325" s="80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</row>
    <row r="326" spans="1:39" s="9" customFormat="1" ht="12.75">
      <c r="A326" s="14"/>
      <c r="B326" s="11"/>
      <c r="C326" s="80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</row>
    <row r="327" spans="1:39" s="9" customFormat="1" ht="12.75">
      <c r="A327" s="14"/>
      <c r="B327" s="11"/>
      <c r="C327" s="80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</row>
    <row r="328" spans="1:39" s="9" customFormat="1" ht="12.75">
      <c r="A328" s="14"/>
      <c r="B328" s="11"/>
      <c r="C328" s="80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</row>
    <row r="329" spans="1:39" s="9" customFormat="1" ht="12.75">
      <c r="A329" s="14"/>
      <c r="B329" s="11"/>
      <c r="C329" s="80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</row>
    <row r="330" spans="1:39" s="9" customFormat="1" ht="12.75">
      <c r="A330" s="14"/>
      <c r="B330" s="11"/>
      <c r="C330" s="80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</row>
    <row r="331" spans="1:39" s="9" customFormat="1" ht="12.75">
      <c r="A331" s="14"/>
      <c r="B331" s="11"/>
      <c r="C331" s="80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</row>
    <row r="332" spans="1:39" s="9" customFormat="1" ht="12.75">
      <c r="A332" s="14"/>
      <c r="B332" s="11"/>
      <c r="C332" s="80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</row>
    <row r="333" spans="1:39" s="9" customFormat="1" ht="12.75">
      <c r="A333" s="14"/>
      <c r="B333" s="11"/>
      <c r="C333" s="80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</row>
    <row r="334" spans="1:39" s="9" customFormat="1" ht="12.75">
      <c r="A334" s="14"/>
      <c r="B334" s="11"/>
      <c r="C334" s="80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</row>
    <row r="335" spans="1:39" s="9" customFormat="1" ht="12.75">
      <c r="A335" s="14"/>
      <c r="B335" s="11"/>
      <c r="C335" s="80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</row>
    <row r="336" spans="1:39" s="9" customFormat="1" ht="12.75">
      <c r="A336" s="14"/>
      <c r="B336" s="11"/>
      <c r="C336" s="80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</row>
    <row r="337" spans="1:39" s="9" customFormat="1" ht="12.75">
      <c r="A337" s="14"/>
      <c r="B337" s="11"/>
      <c r="C337" s="80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</row>
    <row r="338" spans="1:39" s="9" customFormat="1" ht="12.75">
      <c r="A338" s="14"/>
      <c r="B338" s="11"/>
      <c r="C338" s="80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</row>
    <row r="339" spans="1:39" s="9" customFormat="1" ht="12.75">
      <c r="A339" s="14"/>
      <c r="B339" s="11"/>
      <c r="C339" s="80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</row>
    <row r="340" spans="1:39" s="9" customFormat="1" ht="12.75">
      <c r="A340" s="14"/>
      <c r="B340" s="11"/>
      <c r="C340" s="80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</row>
    <row r="341" spans="1:39" s="9" customFormat="1" ht="12.75">
      <c r="A341" s="14"/>
      <c r="B341" s="11"/>
      <c r="C341" s="80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</row>
    <row r="342" spans="1:39" s="9" customFormat="1" ht="12.75">
      <c r="A342" s="14"/>
      <c r="B342" s="11"/>
      <c r="C342" s="80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</row>
    <row r="343" spans="1:39" s="9" customFormat="1" ht="12.75">
      <c r="A343" s="14"/>
      <c r="B343" s="11"/>
      <c r="C343" s="80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</row>
    <row r="344" spans="1:39" s="9" customFormat="1" ht="12.75">
      <c r="A344" s="14"/>
      <c r="B344" s="11"/>
      <c r="C344" s="80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</row>
    <row r="345" spans="1:39" s="9" customFormat="1" ht="12.75">
      <c r="A345" s="14"/>
      <c r="B345" s="11"/>
      <c r="C345" s="80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</row>
    <row r="346" spans="1:39" s="9" customFormat="1" ht="12.75">
      <c r="A346" s="14"/>
      <c r="B346" s="11"/>
      <c r="C346" s="80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</row>
    <row r="347" spans="1:39" s="9" customFormat="1" ht="12.75">
      <c r="A347" s="14"/>
      <c r="B347" s="11"/>
      <c r="C347" s="80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</row>
    <row r="348" spans="1:39" s="9" customFormat="1" ht="12.75">
      <c r="A348" s="14"/>
      <c r="B348" s="11"/>
      <c r="C348" s="80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</row>
    <row r="349" spans="1:39" s="9" customFormat="1" ht="12.75">
      <c r="A349" s="14"/>
      <c r="B349" s="11"/>
      <c r="C349" s="80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</row>
    <row r="350" spans="1:39" s="9" customFormat="1" ht="12.75">
      <c r="A350" s="14"/>
      <c r="B350" s="11"/>
      <c r="C350" s="80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</row>
    <row r="351" spans="1:39" s="9" customFormat="1" ht="12.75">
      <c r="A351" s="14"/>
      <c r="B351" s="11"/>
      <c r="C351" s="80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</row>
    <row r="352" spans="1:39" s="9" customFormat="1" ht="12.75">
      <c r="A352" s="14"/>
      <c r="B352" s="11"/>
      <c r="C352" s="80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</row>
    <row r="353" spans="1:39" s="9" customFormat="1" ht="12.75">
      <c r="A353" s="14"/>
      <c r="B353" s="11"/>
      <c r="C353" s="80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</row>
    <row r="354" spans="1:39" s="9" customFormat="1" ht="12.75">
      <c r="A354" s="14"/>
      <c r="B354" s="11"/>
      <c r="C354" s="80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</row>
    <row r="355" spans="1:39" s="9" customFormat="1" ht="12.75">
      <c r="A355" s="14"/>
      <c r="B355" s="11"/>
      <c r="C355" s="80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</row>
    <row r="356" spans="1:39" s="9" customFormat="1" ht="12.75">
      <c r="A356" s="14"/>
      <c r="B356" s="11"/>
      <c r="C356" s="80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</row>
    <row r="357" spans="1:39" s="9" customFormat="1" ht="12.75">
      <c r="A357" s="14"/>
      <c r="B357" s="11"/>
      <c r="C357" s="80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</row>
    <row r="358" spans="1:39" s="9" customFormat="1" ht="12.75">
      <c r="A358" s="14"/>
      <c r="B358" s="11"/>
      <c r="C358" s="80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</row>
    <row r="359" spans="1:39" s="9" customFormat="1" ht="12.75">
      <c r="A359" s="14"/>
      <c r="B359" s="11"/>
      <c r="C359" s="80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</row>
    <row r="360" spans="1:39" s="9" customFormat="1" ht="12.75">
      <c r="A360" s="14"/>
      <c r="B360" s="11"/>
      <c r="C360" s="80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</row>
    <row r="361" spans="1:39" s="9" customFormat="1" ht="12.75">
      <c r="A361" s="14"/>
      <c r="B361" s="11"/>
      <c r="C361" s="80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</row>
    <row r="362" spans="1:39" s="9" customFormat="1" ht="12.75">
      <c r="A362" s="14"/>
      <c r="B362" s="11"/>
      <c r="C362" s="80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</row>
    <row r="363" spans="1:39" s="9" customFormat="1" ht="12.75">
      <c r="A363" s="14"/>
      <c r="B363" s="11"/>
      <c r="C363" s="80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</row>
    <row r="364" spans="1:39" s="9" customFormat="1" ht="12.75">
      <c r="A364" s="14"/>
      <c r="B364" s="11"/>
      <c r="C364" s="80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</row>
    <row r="365" spans="1:39" s="9" customFormat="1" ht="12.75">
      <c r="A365" s="14"/>
      <c r="B365" s="11"/>
      <c r="C365" s="80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</row>
    <row r="366" spans="1:39" s="9" customFormat="1" ht="12.75">
      <c r="A366" s="14"/>
      <c r="B366" s="11"/>
      <c r="C366" s="80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</row>
    <row r="367" spans="2:39" s="9" customFormat="1" ht="12.75">
      <c r="B367" s="11"/>
      <c r="C367" s="80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</row>
    <row r="368" spans="2:39" s="9" customFormat="1" ht="12.75">
      <c r="B368" s="11"/>
      <c r="C368" s="80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</row>
    <row r="369" spans="2:39" s="9" customFormat="1" ht="12.75">
      <c r="B369" s="11"/>
      <c r="C369" s="80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</row>
    <row r="370" spans="2:39" s="9" customFormat="1" ht="12.75">
      <c r="B370" s="11"/>
      <c r="C370" s="80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</row>
    <row r="371" spans="2:39" s="9" customFormat="1" ht="12.75">
      <c r="B371" s="11"/>
      <c r="C371" s="80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</row>
    <row r="372" spans="2:39" s="9" customFormat="1" ht="12.75">
      <c r="B372" s="11"/>
      <c r="C372" s="80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</row>
    <row r="373" spans="2:39" s="9" customFormat="1" ht="12.75">
      <c r="B373" s="11"/>
      <c r="C373" s="80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</row>
    <row r="374" spans="2:39" s="9" customFormat="1" ht="12.75">
      <c r="B374" s="11"/>
      <c r="C374" s="80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</row>
    <row r="375" spans="2:39" s="9" customFormat="1" ht="12.75">
      <c r="B375" s="11"/>
      <c r="C375" s="80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</row>
    <row r="376" spans="2:39" s="9" customFormat="1" ht="12.75">
      <c r="B376" s="11"/>
      <c r="C376" s="80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</row>
    <row r="377" spans="2:39" s="9" customFormat="1" ht="12.75">
      <c r="B377" s="11"/>
      <c r="C377" s="80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</row>
    <row r="378" spans="2:39" s="9" customFormat="1" ht="12.75">
      <c r="B378" s="11"/>
      <c r="C378" s="80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</row>
    <row r="379" spans="2:39" s="9" customFormat="1" ht="12.75">
      <c r="B379" s="11"/>
      <c r="C379" s="80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</row>
    <row r="380" spans="2:39" s="9" customFormat="1" ht="12.75">
      <c r="B380" s="11"/>
      <c r="C380" s="80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</row>
    <row r="381" spans="2:39" s="9" customFormat="1" ht="12.75">
      <c r="B381" s="11"/>
      <c r="C381" s="80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</row>
    <row r="382" spans="2:39" s="9" customFormat="1" ht="12.75">
      <c r="B382" s="11"/>
      <c r="C382" s="80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</row>
    <row r="383" spans="2:39" s="9" customFormat="1" ht="12.75">
      <c r="B383" s="11"/>
      <c r="C383" s="80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</row>
    <row r="384" spans="2:39" s="9" customFormat="1" ht="12.75">
      <c r="B384" s="11"/>
      <c r="C384" s="80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</row>
    <row r="385" spans="2:39" s="9" customFormat="1" ht="12.75">
      <c r="B385" s="11"/>
      <c r="C385" s="80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</row>
    <row r="386" spans="2:39" s="9" customFormat="1" ht="12.75">
      <c r="B386" s="11"/>
      <c r="C386" s="80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</row>
    <row r="387" spans="2:39" s="9" customFormat="1" ht="12.75">
      <c r="B387" s="11"/>
      <c r="C387" s="80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</row>
    <row r="388" spans="2:39" s="9" customFormat="1" ht="12.75">
      <c r="B388" s="11"/>
      <c r="C388" s="80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</row>
    <row r="389" spans="2:39" s="9" customFormat="1" ht="12.75">
      <c r="B389" s="11"/>
      <c r="C389" s="80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</row>
    <row r="390" spans="2:39" s="9" customFormat="1" ht="12.75">
      <c r="B390" s="11"/>
      <c r="C390" s="80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</row>
    <row r="391" spans="2:39" s="9" customFormat="1" ht="12.75">
      <c r="B391" s="11"/>
      <c r="C391" s="80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</row>
    <row r="392" spans="2:39" s="9" customFormat="1" ht="12.75">
      <c r="B392" s="11"/>
      <c r="C392" s="80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</row>
    <row r="393" spans="2:39" s="9" customFormat="1" ht="12.75">
      <c r="B393" s="11"/>
      <c r="C393" s="80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</row>
    <row r="394" spans="2:39" s="9" customFormat="1" ht="12.75">
      <c r="B394" s="11"/>
      <c r="C394" s="80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</row>
    <row r="395" spans="2:39" s="9" customFormat="1" ht="12.75">
      <c r="B395" s="11"/>
      <c r="C395" s="80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</row>
    <row r="396" spans="2:39" s="9" customFormat="1" ht="12.75">
      <c r="B396" s="11"/>
      <c r="C396" s="80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</row>
    <row r="397" spans="2:39" s="9" customFormat="1" ht="12.75">
      <c r="B397" s="11"/>
      <c r="C397" s="80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</row>
    <row r="398" spans="2:39" s="9" customFormat="1" ht="12.75">
      <c r="B398" s="11"/>
      <c r="C398" s="80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</row>
    <row r="399" spans="2:39" s="9" customFormat="1" ht="12.75">
      <c r="B399" s="11"/>
      <c r="C399" s="80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</row>
    <row r="400" spans="2:39" s="9" customFormat="1" ht="12.75">
      <c r="B400" s="11"/>
      <c r="C400" s="80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</row>
    <row r="401" spans="2:39" s="9" customFormat="1" ht="12.75">
      <c r="B401" s="11"/>
      <c r="C401" s="80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</row>
    <row r="402" spans="2:39" s="9" customFormat="1" ht="12.75">
      <c r="B402" s="11"/>
      <c r="C402" s="80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</row>
    <row r="403" spans="2:39" s="9" customFormat="1" ht="12.75">
      <c r="B403" s="11"/>
      <c r="C403" s="80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</row>
    <row r="404" spans="2:39" s="9" customFormat="1" ht="12.75">
      <c r="B404" s="11"/>
      <c r="C404" s="80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</row>
    <row r="405" spans="2:39" s="9" customFormat="1" ht="12.75">
      <c r="B405" s="11"/>
      <c r="C405" s="80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</row>
    <row r="406" spans="2:39" s="9" customFormat="1" ht="12.75">
      <c r="B406" s="11"/>
      <c r="C406" s="80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</row>
    <row r="407" spans="2:39" s="9" customFormat="1" ht="12.75">
      <c r="B407" s="11"/>
      <c r="C407" s="80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</row>
    <row r="408" spans="2:39" s="9" customFormat="1" ht="12.75">
      <c r="B408" s="11"/>
      <c r="C408" s="80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</row>
    <row r="409" spans="2:39" s="9" customFormat="1" ht="12.75">
      <c r="B409" s="11"/>
      <c r="C409" s="80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</row>
    <row r="410" spans="2:39" s="9" customFormat="1" ht="12.75">
      <c r="B410" s="11"/>
      <c r="C410" s="80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</row>
    <row r="411" spans="2:39" s="9" customFormat="1" ht="12.75">
      <c r="B411" s="11"/>
      <c r="C411" s="80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</row>
    <row r="412" spans="2:39" s="9" customFormat="1" ht="12.75">
      <c r="B412" s="11"/>
      <c r="C412" s="80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</row>
    <row r="413" spans="2:39" s="9" customFormat="1" ht="12.75">
      <c r="B413" s="11"/>
      <c r="C413" s="80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</row>
    <row r="414" spans="2:39" s="9" customFormat="1" ht="12.75">
      <c r="B414" s="11"/>
      <c r="C414" s="80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</row>
    <row r="415" spans="2:39" s="9" customFormat="1" ht="12.75">
      <c r="B415" s="11"/>
      <c r="C415" s="80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</row>
    <row r="416" spans="2:39" s="9" customFormat="1" ht="12.75">
      <c r="B416" s="11"/>
      <c r="C416" s="80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</row>
    <row r="417" spans="2:39" s="9" customFormat="1" ht="12.75">
      <c r="B417" s="11"/>
      <c r="C417" s="80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</row>
    <row r="418" spans="2:39" s="9" customFormat="1" ht="12.75">
      <c r="B418" s="11"/>
      <c r="C418" s="80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</row>
    <row r="419" spans="2:39" s="9" customFormat="1" ht="12.75">
      <c r="B419" s="11"/>
      <c r="C419" s="80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</row>
    <row r="420" spans="2:39" s="9" customFormat="1" ht="12.75">
      <c r="B420" s="11"/>
      <c r="C420" s="80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</row>
    <row r="421" spans="2:39" s="9" customFormat="1" ht="12.75">
      <c r="B421" s="11"/>
      <c r="C421" s="80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</row>
    <row r="422" spans="2:39" s="9" customFormat="1" ht="12.75">
      <c r="B422" s="11"/>
      <c r="C422" s="80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</row>
    <row r="423" spans="2:39" s="9" customFormat="1" ht="12.75">
      <c r="B423" s="11"/>
      <c r="C423" s="80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</row>
    <row r="424" spans="2:39" s="9" customFormat="1" ht="12.75">
      <c r="B424" s="11"/>
      <c r="C424" s="80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</row>
    <row r="425" spans="2:39" s="9" customFormat="1" ht="12.75">
      <c r="B425" s="11"/>
      <c r="C425" s="80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</row>
    <row r="426" spans="2:39" s="9" customFormat="1" ht="12.75">
      <c r="B426" s="11"/>
      <c r="C426" s="80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</row>
    <row r="427" spans="2:39" s="9" customFormat="1" ht="12.75">
      <c r="B427" s="11"/>
      <c r="C427" s="80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</row>
    <row r="428" spans="2:39" s="9" customFormat="1" ht="12.75">
      <c r="B428" s="11"/>
      <c r="C428" s="80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</row>
    <row r="429" spans="2:39" s="9" customFormat="1" ht="12.75">
      <c r="B429" s="11"/>
      <c r="C429" s="80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</row>
    <row r="430" spans="2:39" s="9" customFormat="1" ht="12.75">
      <c r="B430" s="11"/>
      <c r="C430" s="80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</row>
    <row r="431" spans="2:39" s="9" customFormat="1" ht="12.75">
      <c r="B431" s="11"/>
      <c r="C431" s="80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</row>
    <row r="432" spans="2:39" s="9" customFormat="1" ht="12.75">
      <c r="B432" s="11"/>
      <c r="C432" s="80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</row>
    <row r="433" spans="2:39" s="9" customFormat="1" ht="12.75">
      <c r="B433" s="11"/>
      <c r="C433" s="80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</row>
    <row r="434" spans="2:39" s="9" customFormat="1" ht="12.75">
      <c r="B434" s="11"/>
      <c r="C434" s="80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</row>
    <row r="435" spans="2:39" s="9" customFormat="1" ht="12.75">
      <c r="B435" s="11"/>
      <c r="C435" s="80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</row>
    <row r="436" spans="2:39" s="9" customFormat="1" ht="12.75">
      <c r="B436" s="11"/>
      <c r="C436" s="80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</row>
    <row r="437" spans="2:39" s="9" customFormat="1" ht="12.75">
      <c r="B437" s="11"/>
      <c r="C437" s="80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</row>
    <row r="438" spans="2:39" s="9" customFormat="1" ht="12.75">
      <c r="B438" s="11"/>
      <c r="C438" s="80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</row>
    <row r="439" spans="2:39" s="9" customFormat="1" ht="12.75">
      <c r="B439" s="11"/>
      <c r="C439" s="80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</row>
    <row r="440" spans="2:39" s="9" customFormat="1" ht="12.75">
      <c r="B440" s="11"/>
      <c r="C440" s="80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</row>
    <row r="441" spans="2:39" s="9" customFormat="1" ht="12.75">
      <c r="B441" s="11"/>
      <c r="C441" s="80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</row>
    <row r="442" spans="2:39" s="9" customFormat="1" ht="12.75">
      <c r="B442" s="11"/>
      <c r="C442" s="80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</row>
    <row r="443" spans="2:39" s="9" customFormat="1" ht="12.75">
      <c r="B443" s="11"/>
      <c r="C443" s="80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</row>
    <row r="444" spans="2:39" s="9" customFormat="1" ht="12.75">
      <c r="B444" s="11"/>
      <c r="C444" s="80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</row>
    <row r="445" spans="2:39" s="9" customFormat="1" ht="12.75">
      <c r="B445" s="11"/>
      <c r="C445" s="80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</row>
    <row r="446" spans="2:39" s="9" customFormat="1" ht="12.75">
      <c r="B446" s="11"/>
      <c r="C446" s="80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</row>
    <row r="447" spans="2:39" s="9" customFormat="1" ht="12.75">
      <c r="B447" s="11"/>
      <c r="C447" s="80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</row>
    <row r="448" spans="2:39" s="9" customFormat="1" ht="12.75">
      <c r="B448" s="11"/>
      <c r="C448" s="80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</row>
    <row r="449" spans="2:39" s="9" customFormat="1" ht="12.75">
      <c r="B449" s="11"/>
      <c r="C449" s="80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</row>
    <row r="450" spans="2:39" s="9" customFormat="1" ht="12.75">
      <c r="B450" s="11"/>
      <c r="C450" s="80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</row>
    <row r="451" spans="2:39" s="9" customFormat="1" ht="12.75">
      <c r="B451" s="11"/>
      <c r="C451" s="80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</row>
    <row r="452" spans="2:39" s="9" customFormat="1" ht="12.75">
      <c r="B452" s="11"/>
      <c r="C452" s="80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</row>
    <row r="453" spans="2:39" s="9" customFormat="1" ht="12.75">
      <c r="B453" s="11"/>
      <c r="C453" s="80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</row>
    <row r="454" spans="2:39" s="9" customFormat="1" ht="12.75">
      <c r="B454" s="11"/>
      <c r="C454" s="80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</row>
    <row r="455" spans="2:39" s="9" customFormat="1" ht="12.75">
      <c r="B455" s="11"/>
      <c r="C455" s="80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</row>
    <row r="456" spans="2:39" s="9" customFormat="1" ht="12.75">
      <c r="B456" s="11"/>
      <c r="C456" s="80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</row>
    <row r="457" spans="2:39" s="9" customFormat="1" ht="12.75">
      <c r="B457" s="11"/>
      <c r="C457" s="80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</row>
    <row r="458" spans="2:39" s="9" customFormat="1" ht="12.75">
      <c r="B458" s="11"/>
      <c r="C458" s="80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</row>
    <row r="459" spans="2:39" s="9" customFormat="1" ht="12.75">
      <c r="B459" s="11"/>
      <c r="C459" s="80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</row>
    <row r="460" spans="2:39" s="9" customFormat="1" ht="12.75">
      <c r="B460" s="11"/>
      <c r="C460" s="80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</row>
    <row r="461" spans="2:39" s="9" customFormat="1" ht="12.75">
      <c r="B461" s="11"/>
      <c r="C461" s="80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</row>
    <row r="462" spans="2:39" s="9" customFormat="1" ht="12.75">
      <c r="B462" s="11"/>
      <c r="C462" s="80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</row>
    <row r="463" spans="2:39" s="9" customFormat="1" ht="12.75">
      <c r="B463" s="11"/>
      <c r="C463" s="80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</row>
    <row r="464" spans="2:39" s="9" customFormat="1" ht="12.75">
      <c r="B464" s="11"/>
      <c r="C464" s="80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</row>
    <row r="465" spans="2:39" s="9" customFormat="1" ht="12.75">
      <c r="B465" s="11"/>
      <c r="C465" s="80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</row>
    <row r="466" spans="2:39" s="9" customFormat="1" ht="12.75">
      <c r="B466" s="11"/>
      <c r="C466" s="80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</row>
    <row r="467" spans="2:39" s="9" customFormat="1" ht="12.75">
      <c r="B467" s="11"/>
      <c r="C467" s="80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</row>
    <row r="468" spans="2:39" s="9" customFormat="1" ht="12.75">
      <c r="B468" s="11"/>
      <c r="C468" s="80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</row>
    <row r="469" spans="2:39" s="9" customFormat="1" ht="12.75">
      <c r="B469" s="11"/>
      <c r="C469" s="80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</row>
    <row r="470" spans="2:39" s="9" customFormat="1" ht="12.75">
      <c r="B470" s="11"/>
      <c r="C470" s="80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</row>
    <row r="471" spans="2:39" s="9" customFormat="1" ht="12.75">
      <c r="B471" s="11"/>
      <c r="C471" s="80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</row>
    <row r="472" spans="2:39" s="9" customFormat="1" ht="12.75">
      <c r="B472" s="11"/>
      <c r="C472" s="80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</row>
    <row r="473" spans="2:39" s="9" customFormat="1" ht="12.75">
      <c r="B473" s="11"/>
      <c r="C473" s="80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</row>
    <row r="474" spans="2:39" s="9" customFormat="1" ht="12.75">
      <c r="B474" s="11"/>
      <c r="C474" s="80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</row>
    <row r="475" spans="2:39" s="9" customFormat="1" ht="12.75">
      <c r="B475" s="11"/>
      <c r="C475" s="80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</row>
    <row r="476" spans="2:39" s="9" customFormat="1" ht="12.75">
      <c r="B476" s="11"/>
      <c r="C476" s="80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</row>
    <row r="477" spans="2:39" s="9" customFormat="1" ht="12.75">
      <c r="B477" s="11"/>
      <c r="C477" s="80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</row>
    <row r="478" spans="2:39" s="9" customFormat="1" ht="12.75">
      <c r="B478" s="11"/>
      <c r="C478" s="80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</row>
    <row r="479" spans="2:39" s="9" customFormat="1" ht="12.75">
      <c r="B479" s="11"/>
      <c r="C479" s="80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</row>
    <row r="480" spans="2:39" s="9" customFormat="1" ht="12.75">
      <c r="B480" s="11"/>
      <c r="C480" s="80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</row>
    <row r="481" spans="2:39" s="9" customFormat="1" ht="12.75">
      <c r="B481" s="11"/>
      <c r="C481" s="80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</row>
    <row r="482" spans="2:39" s="9" customFormat="1" ht="12.75">
      <c r="B482" s="11"/>
      <c r="C482" s="80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</row>
    <row r="483" spans="2:39" s="9" customFormat="1" ht="12.75">
      <c r="B483" s="11"/>
      <c r="C483" s="80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</row>
    <row r="484" spans="2:39" s="9" customFormat="1" ht="12.75">
      <c r="B484" s="11"/>
      <c r="C484" s="80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</row>
    <row r="485" spans="2:39" s="9" customFormat="1" ht="12.75">
      <c r="B485" s="11"/>
      <c r="C485" s="80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</row>
    <row r="486" spans="2:39" s="9" customFormat="1" ht="12.75">
      <c r="B486" s="11"/>
      <c r="C486" s="80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</row>
    <row r="487" spans="2:39" s="9" customFormat="1" ht="12.75">
      <c r="B487" s="11"/>
      <c r="C487" s="80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</row>
    <row r="488" spans="2:39" s="9" customFormat="1" ht="12.75">
      <c r="B488" s="11"/>
      <c r="C488" s="80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</row>
    <row r="489" spans="2:39" s="9" customFormat="1" ht="12.75">
      <c r="B489" s="11"/>
      <c r="C489" s="80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</row>
    <row r="490" spans="2:39" s="9" customFormat="1" ht="12.75">
      <c r="B490" s="11"/>
      <c r="C490" s="80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</row>
    <row r="491" spans="2:39" s="9" customFormat="1" ht="12.75">
      <c r="B491" s="11"/>
      <c r="C491" s="80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</row>
    <row r="492" spans="2:39" s="9" customFormat="1" ht="12.75">
      <c r="B492" s="11"/>
      <c r="C492" s="80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</row>
    <row r="493" spans="2:39" s="9" customFormat="1" ht="12.75">
      <c r="B493" s="11"/>
      <c r="C493" s="80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</row>
    <row r="494" spans="2:39" s="9" customFormat="1" ht="12.75">
      <c r="B494" s="11"/>
      <c r="C494" s="80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</row>
    <row r="495" spans="2:39" s="9" customFormat="1" ht="12.75">
      <c r="B495" s="11"/>
      <c r="C495" s="80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</row>
    <row r="496" spans="2:39" s="9" customFormat="1" ht="12.75">
      <c r="B496" s="11"/>
      <c r="C496" s="80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</row>
    <row r="497" spans="2:39" s="9" customFormat="1" ht="12.75">
      <c r="B497" s="11"/>
      <c r="C497" s="80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</row>
    <row r="498" spans="2:39" s="9" customFormat="1" ht="12.75">
      <c r="B498" s="11"/>
      <c r="C498" s="80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</row>
    <row r="499" spans="2:39" s="9" customFormat="1" ht="12.75">
      <c r="B499" s="23"/>
      <c r="C499" s="80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</row>
    <row r="500" spans="2:39" s="9" customFormat="1" ht="12.75">
      <c r="B500" s="23"/>
      <c r="C500" s="80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</row>
    <row r="501" spans="2:39" s="9" customFormat="1" ht="12.75">
      <c r="B501" s="23"/>
      <c r="C501" s="80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</row>
    <row r="502" spans="2:39" s="9" customFormat="1" ht="12.75">
      <c r="B502" s="23"/>
      <c r="C502" s="80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</row>
    <row r="503" spans="2:39" s="9" customFormat="1" ht="12.75">
      <c r="B503" s="23"/>
      <c r="C503" s="80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</row>
    <row r="504" spans="2:39" s="9" customFormat="1" ht="12.75">
      <c r="B504" s="23"/>
      <c r="C504" s="80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</row>
    <row r="505" spans="2:39" s="9" customFormat="1" ht="12.75">
      <c r="B505" s="23"/>
      <c r="C505" s="80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</row>
    <row r="506" spans="2:39" s="9" customFormat="1" ht="12.75">
      <c r="B506" s="23"/>
      <c r="C506" s="80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</row>
    <row r="507" spans="2:39" s="9" customFormat="1" ht="12.75">
      <c r="B507" s="23"/>
      <c r="C507" s="80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</row>
    <row r="508" spans="2:39" s="9" customFormat="1" ht="12.75">
      <c r="B508" s="23"/>
      <c r="C508" s="80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</row>
    <row r="509" spans="2:39" s="9" customFormat="1" ht="12.75">
      <c r="B509" s="23"/>
      <c r="C509" s="80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</row>
    <row r="510" spans="2:39" s="9" customFormat="1" ht="12.75">
      <c r="B510" s="23"/>
      <c r="C510" s="80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</row>
    <row r="511" spans="2:39" s="9" customFormat="1" ht="12.75">
      <c r="B511" s="23"/>
      <c r="C511" s="80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</row>
    <row r="512" spans="2:39" s="9" customFormat="1" ht="12.75">
      <c r="B512" s="23"/>
      <c r="C512" s="80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</row>
    <row r="513" spans="2:39" s="9" customFormat="1" ht="12.75">
      <c r="B513" s="23"/>
      <c r="C513" s="80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</row>
    <row r="514" spans="2:39" s="9" customFormat="1" ht="12.75">
      <c r="B514" s="23"/>
      <c r="C514" s="80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</row>
    <row r="515" spans="2:39" s="9" customFormat="1" ht="12.75">
      <c r="B515" s="23"/>
      <c r="C515" s="80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</row>
    <row r="516" spans="2:39" s="9" customFormat="1" ht="12.75">
      <c r="B516" s="23"/>
      <c r="C516" s="80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</row>
    <row r="517" spans="2:39" s="9" customFormat="1" ht="12.75">
      <c r="B517" s="23"/>
      <c r="C517" s="80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</row>
    <row r="518" spans="2:39" s="9" customFormat="1" ht="12.75">
      <c r="B518" s="23"/>
      <c r="C518" s="80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</row>
    <row r="519" spans="2:39" s="9" customFormat="1" ht="12.75">
      <c r="B519" s="23"/>
      <c r="C519" s="80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</row>
    <row r="520" spans="2:39" s="9" customFormat="1" ht="12.75">
      <c r="B520" s="23"/>
      <c r="C520" s="80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</row>
    <row r="521" spans="2:39" s="9" customFormat="1" ht="12.75">
      <c r="B521" s="23"/>
      <c r="C521" s="80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</row>
    <row r="522" spans="2:39" s="9" customFormat="1" ht="12.75">
      <c r="B522" s="23"/>
      <c r="C522" s="80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</row>
    <row r="523" spans="2:39" s="9" customFormat="1" ht="12.75">
      <c r="B523" s="23"/>
      <c r="C523" s="80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</row>
    <row r="524" spans="2:39" s="9" customFormat="1" ht="12.75">
      <c r="B524" s="23"/>
      <c r="C524" s="80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</row>
    <row r="525" spans="2:39" s="9" customFormat="1" ht="12.75">
      <c r="B525" s="23"/>
      <c r="C525" s="80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</row>
    <row r="526" spans="2:39" s="9" customFormat="1" ht="12.75">
      <c r="B526" s="23"/>
      <c r="C526" s="80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</row>
    <row r="527" spans="2:39" s="9" customFormat="1" ht="12.75">
      <c r="B527" s="23"/>
      <c r="C527" s="80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</row>
    <row r="528" spans="2:39" s="9" customFormat="1" ht="12.75">
      <c r="B528" s="23"/>
      <c r="C528" s="80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</row>
    <row r="529" spans="2:39" s="9" customFormat="1" ht="12.75">
      <c r="B529" s="23"/>
      <c r="C529" s="80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</row>
    <row r="530" spans="2:39" s="9" customFormat="1" ht="12.75">
      <c r="B530" s="23"/>
      <c r="C530" s="80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</row>
    <row r="531" spans="2:39" s="9" customFormat="1" ht="12.75">
      <c r="B531" s="23"/>
      <c r="C531" s="80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</row>
    <row r="532" spans="2:39" s="9" customFormat="1" ht="12.75">
      <c r="B532" s="23"/>
      <c r="C532" s="80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</row>
    <row r="533" spans="2:39" s="9" customFormat="1" ht="12.75">
      <c r="B533" s="23"/>
      <c r="C533" s="80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</row>
    <row r="534" spans="2:39" s="9" customFormat="1" ht="12.75">
      <c r="B534" s="23"/>
      <c r="C534" s="80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</row>
    <row r="535" spans="2:39" s="9" customFormat="1" ht="12.75">
      <c r="B535" s="23"/>
      <c r="C535" s="80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</row>
    <row r="536" spans="2:39" s="9" customFormat="1" ht="12.75">
      <c r="B536" s="23"/>
      <c r="C536" s="80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</row>
    <row r="537" spans="2:39" s="9" customFormat="1" ht="12.75">
      <c r="B537" s="23"/>
      <c r="C537" s="80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</row>
    <row r="538" spans="2:39" s="9" customFormat="1" ht="12.75">
      <c r="B538" s="23"/>
      <c r="C538" s="80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</row>
    <row r="539" spans="2:39" s="9" customFormat="1" ht="12.75">
      <c r="B539" s="23"/>
      <c r="C539" s="80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</row>
    <row r="540" spans="2:39" s="9" customFormat="1" ht="12.75">
      <c r="B540" s="23"/>
      <c r="C540" s="80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</row>
  </sheetData>
  <mergeCells count="2">
    <mergeCell ref="C5:O5"/>
    <mergeCell ref="A7:A57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AM577"/>
  <sheetViews>
    <sheetView workbookViewId="0" topLeftCell="A1">
      <selection activeCell="A1" sqref="A1"/>
    </sheetView>
  </sheetViews>
  <sheetFormatPr defaultColWidth="9.140625" defaultRowHeight="12.75"/>
  <cols>
    <col min="1" max="1" width="3.8515625" style="4" bestFit="1" customWidth="1"/>
    <col min="2" max="2" width="16.421875" style="23" customWidth="1"/>
    <col min="3" max="3" width="6.00390625" style="7" customWidth="1"/>
    <col min="4" max="14" width="6.00390625" style="4" customWidth="1"/>
    <col min="15" max="15" width="6.57421875" style="4" bestFit="1" customWidth="1"/>
    <col min="16" max="16" width="5.8515625" style="4" bestFit="1" customWidth="1"/>
    <col min="17" max="17" width="5.140625" style="4" bestFit="1" customWidth="1"/>
    <col min="18" max="18" width="7.8515625" style="4" bestFit="1" customWidth="1"/>
    <col min="19" max="20" width="6.00390625" style="4" bestFit="1" customWidth="1"/>
    <col min="21" max="21" width="7.28125" style="4" bestFit="1" customWidth="1"/>
    <col min="22" max="22" width="5.7109375" style="4" bestFit="1" customWidth="1"/>
    <col min="23" max="39" width="9.140625" style="2" customWidth="1"/>
    <col min="40" max="16384" width="9.140625" style="4" customWidth="1"/>
  </cols>
  <sheetData>
    <row r="1" spans="1:19" ht="18.75">
      <c r="A1" s="6" t="s">
        <v>34</v>
      </c>
      <c r="P1" s="6"/>
      <c r="R1" s="183"/>
      <c r="S1" s="50"/>
    </row>
    <row r="2" spans="1:18" ht="12.75">
      <c r="A2" s="5" t="s">
        <v>148</v>
      </c>
      <c r="P2" s="8"/>
      <c r="R2" s="182"/>
    </row>
    <row r="3" spans="1:18" ht="9.75" customHeight="1">
      <c r="A3" s="13" t="s">
        <v>217</v>
      </c>
      <c r="B3" s="10"/>
      <c r="R3" s="181"/>
    </row>
    <row r="4" spans="1:18" ht="9.75" customHeight="1" thickBot="1">
      <c r="A4" s="13"/>
      <c r="B4" s="10"/>
      <c r="R4" s="183"/>
    </row>
    <row r="5" spans="2:18" ht="15" customHeight="1" thickBot="1">
      <c r="B5" s="10"/>
      <c r="C5" s="185">
        <v>2007</v>
      </c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7"/>
      <c r="R5" s="183"/>
    </row>
    <row r="6" spans="2:18" ht="48" thickBot="1">
      <c r="B6" s="10"/>
      <c r="C6" s="51" t="s">
        <v>77</v>
      </c>
      <c r="D6" s="53" t="s">
        <v>78</v>
      </c>
      <c r="E6" s="53" t="s">
        <v>79</v>
      </c>
      <c r="F6" s="53" t="s">
        <v>80</v>
      </c>
      <c r="G6" s="53" t="s">
        <v>81</v>
      </c>
      <c r="H6" s="53" t="s">
        <v>82</v>
      </c>
      <c r="I6" s="53" t="s">
        <v>83</v>
      </c>
      <c r="J6" s="53" t="s">
        <v>84</v>
      </c>
      <c r="K6" s="53" t="s">
        <v>85</v>
      </c>
      <c r="L6" s="53" t="s">
        <v>86</v>
      </c>
      <c r="M6" s="53" t="s">
        <v>87</v>
      </c>
      <c r="N6" s="52" t="s">
        <v>88</v>
      </c>
      <c r="O6" s="73" t="s">
        <v>89</v>
      </c>
      <c r="R6" s="183"/>
    </row>
    <row r="7" spans="1:22" ht="15.75" customHeight="1">
      <c r="A7" s="195" t="s">
        <v>35</v>
      </c>
      <c r="B7" s="164" t="s">
        <v>185</v>
      </c>
      <c r="C7" s="39">
        <f>61.3+4.3+44+24+2.1+26.1+67+1</f>
        <v>229.79999999999998</v>
      </c>
      <c r="D7" s="40">
        <f>64+150+5+20</f>
        <v>239</v>
      </c>
      <c r="E7" s="40">
        <f>70+48+71+9+75+48</f>
        <v>321</v>
      </c>
      <c r="F7" s="40">
        <f>44+75</f>
        <v>119</v>
      </c>
      <c r="G7" s="40">
        <f>224+225</f>
        <v>449</v>
      </c>
      <c r="H7" s="40">
        <f>89+25.3+22+2.3</f>
        <v>138.60000000000002</v>
      </c>
      <c r="I7" s="40">
        <f>76.5+42.16+2</f>
        <v>120.66</v>
      </c>
      <c r="J7" s="40">
        <f>143+3.132+20</f>
        <v>166.132</v>
      </c>
      <c r="K7" s="40">
        <f>120+15.8+15+2.1+40</f>
        <v>192.9</v>
      </c>
      <c r="L7" s="40">
        <f>133+2.4</f>
        <v>135.4</v>
      </c>
      <c r="M7" s="40">
        <f>266+42+46</f>
        <v>354</v>
      </c>
      <c r="N7" s="41">
        <v>0</v>
      </c>
      <c r="O7" s="125">
        <f>SUM(C7:N7)</f>
        <v>2465.492</v>
      </c>
      <c r="P7" s="75"/>
      <c r="Q7" s="75"/>
      <c r="R7" s="183"/>
      <c r="S7" s="75"/>
      <c r="T7" s="75"/>
      <c r="U7" s="75"/>
      <c r="V7" s="75"/>
    </row>
    <row r="8" spans="1:22" ht="15.75">
      <c r="A8" s="196"/>
      <c r="B8" s="165" t="s">
        <v>92</v>
      </c>
      <c r="C8" s="34">
        <f>7.19+0.3+716+0.776+57+1200+0.55+40+3026.7+16.5+0.347</f>
        <v>5065.362999999999</v>
      </c>
      <c r="D8" s="35">
        <f>1.732+2.45+334+0.185+3.61+29.7+0.26+10927+112.5+26.4+0.16+44.135</f>
        <v>11482.132</v>
      </c>
      <c r="E8" s="35">
        <f>59.7+1242+0.16+1.215+0.855+6.685+106.57+200+1.18+329.24+0.08+0.17+46+18+0.95+100</f>
        <v>2112.8050000000003</v>
      </c>
      <c r="F8" s="44">
        <f>1088.9+1.26+1.585+0.065+7+90+16+0.795+578.48+10+0.175+17</f>
        <v>1811.2600000000002</v>
      </c>
      <c r="G8" s="44">
        <f>758+90+44.7+43.16+300+4.14+22.14+12.07</f>
        <v>1274.2100000000003</v>
      </c>
      <c r="H8" s="44">
        <f>2380+45+0.35+45+17+8326+176</f>
        <v>10989.35</v>
      </c>
      <c r="I8" s="44">
        <f>48+211+1221+0.27+15+0.25+19+90+100+0.248</f>
        <v>1704.768</v>
      </c>
      <c r="J8" s="44">
        <f>42+881+23.2+15+3000+731.5+80+0.284+42</f>
        <v>4814.9839999999995</v>
      </c>
      <c r="K8" s="35">
        <f>14.52+331.63+1640+174.6+12+85+67+20+52.5+2.958+29+7.25</f>
        <v>2436.458</v>
      </c>
      <c r="L8" s="35">
        <f>650+0.22+75+334+132+44+2.9+1.044+10+0.148+0.25+0.29+42.97+14.25</f>
        <v>1307.0720000000001</v>
      </c>
      <c r="M8" s="35">
        <f>178+178+89.55+1869+0.61+0.45+100+0.19+0.148+200+8.1+10+89.85</f>
        <v>2723.898</v>
      </c>
      <c r="N8" s="36">
        <f>1.05+3.275+1048+3.065+3.125+0.75+40+68.8+4</f>
        <v>1172.065</v>
      </c>
      <c r="O8" s="66">
        <f aca="true" t="shared" si="0" ref="O8:O77">SUM(C8:N8)</f>
        <v>46894.36499999999</v>
      </c>
      <c r="P8" s="75"/>
      <c r="Q8" s="75"/>
      <c r="R8" s="178"/>
      <c r="S8" s="75"/>
      <c r="T8" s="75"/>
      <c r="U8" s="75"/>
      <c r="V8" s="75"/>
    </row>
    <row r="9" spans="1:22" ht="15.75">
      <c r="A9" s="196"/>
      <c r="B9" s="165" t="s">
        <v>36</v>
      </c>
      <c r="C9" s="34">
        <v>0</v>
      </c>
      <c r="D9" s="35">
        <v>70</v>
      </c>
      <c r="E9" s="35">
        <v>0</v>
      </c>
      <c r="F9" s="44">
        <v>70</v>
      </c>
      <c r="G9" s="44">
        <v>0</v>
      </c>
      <c r="H9" s="44">
        <v>0</v>
      </c>
      <c r="I9" s="44">
        <v>0</v>
      </c>
      <c r="J9" s="44">
        <v>232</v>
      </c>
      <c r="K9" s="35">
        <v>232</v>
      </c>
      <c r="L9" s="35">
        <v>0</v>
      </c>
      <c r="M9" s="35">
        <v>0</v>
      </c>
      <c r="N9" s="36">
        <v>0</v>
      </c>
      <c r="O9" s="66">
        <f t="shared" si="0"/>
        <v>604</v>
      </c>
      <c r="P9" s="75"/>
      <c r="Q9" s="75"/>
      <c r="R9" s="183"/>
      <c r="S9" s="75"/>
      <c r="T9" s="75"/>
      <c r="U9" s="75"/>
      <c r="V9" s="75"/>
    </row>
    <row r="10" spans="1:22" ht="15.75">
      <c r="A10" s="196"/>
      <c r="B10" s="165" t="s">
        <v>186</v>
      </c>
      <c r="C10" s="34">
        <v>23.09</v>
      </c>
      <c r="D10" s="35">
        <v>0</v>
      </c>
      <c r="E10" s="35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35">
        <v>0</v>
      </c>
      <c r="L10" s="35">
        <v>0</v>
      </c>
      <c r="M10" s="35">
        <v>0</v>
      </c>
      <c r="N10" s="36">
        <v>0</v>
      </c>
      <c r="O10" s="66">
        <f t="shared" si="0"/>
        <v>23.09</v>
      </c>
      <c r="P10" s="75"/>
      <c r="Q10" s="75"/>
      <c r="R10" s="183"/>
      <c r="S10" s="75"/>
      <c r="T10" s="75"/>
      <c r="U10" s="75"/>
      <c r="V10" s="75"/>
    </row>
    <row r="11" spans="1:22" ht="21">
      <c r="A11" s="196"/>
      <c r="B11" s="165" t="s">
        <v>192</v>
      </c>
      <c r="C11" s="34">
        <f>46+9.438</f>
        <v>55.438</v>
      </c>
      <c r="D11" s="35">
        <f>6.69+2.07+72+0.24+1.975+0.22</f>
        <v>83.195</v>
      </c>
      <c r="E11" s="35">
        <v>1.617</v>
      </c>
      <c r="F11" s="44">
        <v>0</v>
      </c>
      <c r="G11" s="44">
        <f>31.17+90+0.049</f>
        <v>121.21900000000001</v>
      </c>
      <c r="H11" s="44">
        <f>20+25</f>
        <v>45</v>
      </c>
      <c r="I11" s="44">
        <f>40+96.6+144</f>
        <v>280.6</v>
      </c>
      <c r="J11" s="44">
        <f>25+81</f>
        <v>106</v>
      </c>
      <c r="K11" s="35">
        <v>99.8</v>
      </c>
      <c r="L11" s="35">
        <v>0</v>
      </c>
      <c r="M11" s="35">
        <f>72+48</f>
        <v>120</v>
      </c>
      <c r="N11" s="36">
        <v>0</v>
      </c>
      <c r="O11" s="66">
        <f t="shared" si="0"/>
        <v>912.8689999999999</v>
      </c>
      <c r="P11" s="76"/>
      <c r="Q11" s="76"/>
      <c r="R11" s="183"/>
      <c r="S11" s="76"/>
      <c r="T11" s="76"/>
      <c r="U11" s="76"/>
      <c r="V11" s="76"/>
    </row>
    <row r="12" spans="1:22" ht="12.75">
      <c r="A12" s="196"/>
      <c r="B12" s="163" t="s">
        <v>188</v>
      </c>
      <c r="C12" s="34">
        <v>0</v>
      </c>
      <c r="D12" s="35">
        <v>0</v>
      </c>
      <c r="E12" s="35">
        <v>0.11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35">
        <v>0</v>
      </c>
      <c r="L12" s="35">
        <v>0</v>
      </c>
      <c r="M12" s="35">
        <v>0</v>
      </c>
      <c r="N12" s="36">
        <v>0</v>
      </c>
      <c r="O12" s="66">
        <f t="shared" si="0"/>
        <v>0.11</v>
      </c>
      <c r="P12" s="76"/>
      <c r="Q12" s="76"/>
      <c r="R12" s="182"/>
      <c r="S12" s="76"/>
      <c r="T12" s="76"/>
      <c r="U12" s="76"/>
      <c r="V12" s="76"/>
    </row>
    <row r="13" spans="1:39" s="7" customFormat="1" ht="12.75">
      <c r="A13" s="196"/>
      <c r="B13" s="165" t="s">
        <v>187</v>
      </c>
      <c r="C13" s="34">
        <v>0</v>
      </c>
      <c r="D13" s="35">
        <v>0</v>
      </c>
      <c r="E13" s="35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35">
        <v>0</v>
      </c>
      <c r="L13" s="35">
        <v>0</v>
      </c>
      <c r="M13" s="35">
        <v>0</v>
      </c>
      <c r="N13" s="36">
        <v>0</v>
      </c>
      <c r="O13" s="66">
        <f t="shared" si="0"/>
        <v>0</v>
      </c>
      <c r="P13" s="77"/>
      <c r="Q13" s="78"/>
      <c r="R13" s="183"/>
      <c r="S13" s="77"/>
      <c r="T13" s="77"/>
      <c r="U13" s="78"/>
      <c r="V13" s="78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20" s="12" customFormat="1" ht="12.75">
      <c r="A14" s="196"/>
      <c r="B14" s="165" t="s">
        <v>7</v>
      </c>
      <c r="C14" s="34">
        <v>0</v>
      </c>
      <c r="D14" s="35">
        <v>0</v>
      </c>
      <c r="E14" s="35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35">
        <v>0</v>
      </c>
      <c r="L14" s="35">
        <v>0</v>
      </c>
      <c r="M14" s="35">
        <v>0</v>
      </c>
      <c r="N14" s="36">
        <v>0</v>
      </c>
      <c r="O14" s="66">
        <f t="shared" si="0"/>
        <v>0</v>
      </c>
      <c r="P14" s="79"/>
      <c r="Q14" s="79"/>
      <c r="R14" s="183"/>
      <c r="S14" s="79"/>
      <c r="T14" s="79"/>
    </row>
    <row r="15" spans="1:20" s="12" customFormat="1" ht="12.75">
      <c r="A15" s="196"/>
      <c r="B15" s="166" t="s">
        <v>189</v>
      </c>
      <c r="C15" s="34">
        <v>0</v>
      </c>
      <c r="D15" s="35">
        <v>0</v>
      </c>
      <c r="E15" s="35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35">
        <v>0</v>
      </c>
      <c r="L15" s="35">
        <v>0</v>
      </c>
      <c r="M15" s="35">
        <v>0</v>
      </c>
      <c r="N15" s="36">
        <v>0</v>
      </c>
      <c r="O15" s="66">
        <f t="shared" si="0"/>
        <v>0</v>
      </c>
      <c r="P15" s="79"/>
      <c r="Q15" s="79"/>
      <c r="R15" s="183"/>
      <c r="S15" s="79"/>
      <c r="T15" s="79"/>
    </row>
    <row r="16" spans="1:20" s="12" customFormat="1" ht="12.75">
      <c r="A16" s="196"/>
      <c r="B16" s="166" t="s">
        <v>191</v>
      </c>
      <c r="C16" s="34">
        <v>0</v>
      </c>
      <c r="D16" s="35">
        <v>0</v>
      </c>
      <c r="E16" s="35">
        <v>0</v>
      </c>
      <c r="F16" s="44">
        <v>0.1</v>
      </c>
      <c r="G16" s="44">
        <v>2</v>
      </c>
      <c r="H16" s="44">
        <v>0</v>
      </c>
      <c r="I16" s="44">
        <v>0</v>
      </c>
      <c r="J16" s="44">
        <v>1</v>
      </c>
      <c r="K16" s="35">
        <v>0.5</v>
      </c>
      <c r="L16" s="35">
        <v>0</v>
      </c>
      <c r="M16" s="35">
        <v>1</v>
      </c>
      <c r="N16" s="36">
        <v>0</v>
      </c>
      <c r="O16" s="66">
        <f t="shared" si="0"/>
        <v>4.6</v>
      </c>
      <c r="P16" s="79"/>
      <c r="Q16" s="79"/>
      <c r="R16" s="180"/>
      <c r="S16" s="79"/>
      <c r="T16" s="79"/>
    </row>
    <row r="17" spans="1:20" s="12" customFormat="1" ht="12.75">
      <c r="A17" s="196"/>
      <c r="B17" s="165" t="s">
        <v>190</v>
      </c>
      <c r="C17" s="34">
        <v>0</v>
      </c>
      <c r="D17" s="35">
        <v>0</v>
      </c>
      <c r="E17" s="35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35">
        <v>0</v>
      </c>
      <c r="L17" s="35">
        <v>0</v>
      </c>
      <c r="M17" s="35">
        <v>0</v>
      </c>
      <c r="N17" s="36">
        <v>0</v>
      </c>
      <c r="O17" s="66">
        <f t="shared" si="0"/>
        <v>0</v>
      </c>
      <c r="P17" s="79"/>
      <c r="Q17" s="79"/>
      <c r="R17" s="182"/>
      <c r="S17" s="79"/>
      <c r="T17" s="79"/>
    </row>
    <row r="18" spans="1:20" s="12" customFormat="1" ht="12.75">
      <c r="A18" s="196"/>
      <c r="B18" s="165" t="s">
        <v>193</v>
      </c>
      <c r="C18" s="34">
        <f>100+3714</f>
        <v>3814</v>
      </c>
      <c r="D18" s="35">
        <f>50+1034</f>
        <v>1084</v>
      </c>
      <c r="E18" s="35">
        <f>167.48+3129.4</f>
        <v>3296.88</v>
      </c>
      <c r="F18" s="44">
        <v>528.69</v>
      </c>
      <c r="G18" s="44">
        <f>300+200</f>
        <v>500</v>
      </c>
      <c r="H18" s="44">
        <f>108+1843</f>
        <v>1951</v>
      </c>
      <c r="I18" s="44">
        <v>220</v>
      </c>
      <c r="J18" s="44">
        <f>289.2+3024.5</f>
        <v>3313.7</v>
      </c>
      <c r="K18" s="35">
        <v>92</v>
      </c>
      <c r="L18" s="35">
        <v>1736</v>
      </c>
      <c r="M18" s="35">
        <v>262</v>
      </c>
      <c r="N18" s="36">
        <v>536</v>
      </c>
      <c r="O18" s="66">
        <f t="shared" si="0"/>
        <v>17334.27</v>
      </c>
      <c r="P18" s="79"/>
      <c r="Q18" s="79"/>
      <c r="R18" s="183"/>
      <c r="S18" s="79"/>
      <c r="T18" s="79"/>
    </row>
    <row r="19" spans="1:20" s="12" customFormat="1" ht="12.75">
      <c r="A19" s="196"/>
      <c r="B19" s="165" t="s">
        <v>96</v>
      </c>
      <c r="C19" s="34">
        <f>40.02+20.8+12.51+0.115+0.01+20+0.076+185.1+13663+24163+77.57+28.8</f>
        <v>38211.001000000004</v>
      </c>
      <c r="D19" s="35">
        <f>17.4+0.366+0.113+0.036+18.733+0.027+138.87+7618.1+0.25+16.804+58.287+0.001</f>
        <v>7868.987000000001</v>
      </c>
      <c r="E19" s="35">
        <f>60.14+38.1+17+68+0.525+0.23+0.4+9+0.038+108.9+186.3+1.5+8569.1+214+9+3</f>
        <v>9285.233</v>
      </c>
      <c r="F19" s="44">
        <f>256.2+16.94+47.17+7.749+0.1+39.24+0.8+65.31+19.5+153.9+226.8+8932+19.05+285.5+2.126+6.513</f>
        <v>10078.898000000001</v>
      </c>
      <c r="G19" s="44">
        <f>7771+0.006</f>
        <v>7771.006</v>
      </c>
      <c r="H19" s="44">
        <f>7545+208.3+248.3+18+0.029+0.011+0.295+15.5+16.33</f>
        <v>8051.765000000001</v>
      </c>
      <c r="I19" s="44">
        <f>52.4+108.9+163.6+3+2.65+21.01+7.581+2000+0.045+15.38</f>
        <v>2374.5660000000003</v>
      </c>
      <c r="J19" s="44">
        <f>283.7+36.68+9+98.79+0.2+0.525+0.013+3.98+292+1108+30753+32.66+38.89</f>
        <v>32657.438</v>
      </c>
      <c r="K19" s="35">
        <f>268+0.15+1+82.19+185.014+2+65.834+2</f>
        <v>606.1880000000001</v>
      </c>
      <c r="L19" s="35">
        <f>96.27+21.12+0.09+0.235+19.05+40.8+316.4+5255+14869+5.572+7443+21.772</f>
        <v>28088.309</v>
      </c>
      <c r="M19" s="35">
        <f>220.2+42+122.6+0.11+0.02+2.633+500+11.8</f>
        <v>899.3629999999998</v>
      </c>
      <c r="N19" s="36">
        <f>9.565+0.53+19.64+0.651+0.001+65.32+0.009+40.41+21433+110.8</f>
        <v>21679.926</v>
      </c>
      <c r="O19" s="66">
        <f t="shared" si="0"/>
        <v>167572.68000000002</v>
      </c>
      <c r="P19" s="79"/>
      <c r="Q19" s="79"/>
      <c r="R19" s="182"/>
      <c r="S19" s="79"/>
      <c r="T19" s="79"/>
    </row>
    <row r="20" spans="1:20" s="12" customFormat="1" ht="12.75">
      <c r="A20" s="196"/>
      <c r="B20" s="165" t="s">
        <v>8</v>
      </c>
      <c r="C20" s="34">
        <f>23.814+71.442+203.98+105.78+160.67+68.04</f>
        <v>633.7259999999999</v>
      </c>
      <c r="D20" s="35">
        <f>391.98+422.35+24.55</f>
        <v>838.88</v>
      </c>
      <c r="E20" s="35">
        <f>361.01+261.04+47.309+44.91</f>
        <v>714.2689999999999</v>
      </c>
      <c r="F20" s="44">
        <f>26.489+459.35+316.07+39.01+24.948+29.5</f>
        <v>895.367</v>
      </c>
      <c r="G20" s="44">
        <f>157.6+258.1+17.18+35.71</f>
        <v>468.59000000000003</v>
      </c>
      <c r="H20" s="44">
        <f>28.3+23.1+251.2+20.41+22.68+12.7</f>
        <v>358.39000000000004</v>
      </c>
      <c r="I20" s="44">
        <f>264.9+34.29+186+24.95</f>
        <v>510.14</v>
      </c>
      <c r="J20" s="44">
        <f>71.67+157.4+486.8+119.8+22.68</f>
        <v>858.3499999999999</v>
      </c>
      <c r="K20" s="35">
        <f>90.54+367.1+23+118.4+49.99</f>
        <v>649.0300000000001</v>
      </c>
      <c r="L20" s="35">
        <f>45.82+727.5+47.56+214.5</f>
        <v>1035.38</v>
      </c>
      <c r="M20" s="35">
        <f>22+25+573.79+49.895+19.958</f>
        <v>690.6429999999999</v>
      </c>
      <c r="N20" s="36">
        <f>214.37+49.851+39.916</f>
        <v>304.137</v>
      </c>
      <c r="O20" s="66">
        <f t="shared" si="0"/>
        <v>7956.901999999999</v>
      </c>
      <c r="P20" s="79"/>
      <c r="Q20" s="79"/>
      <c r="R20" s="182"/>
      <c r="S20" s="79"/>
      <c r="T20" s="79"/>
    </row>
    <row r="21" spans="1:20" s="12" customFormat="1" ht="12.75">
      <c r="A21" s="196"/>
      <c r="B21" s="165" t="s">
        <v>10</v>
      </c>
      <c r="C21" s="34">
        <f>45+1.97</f>
        <v>46.97</v>
      </c>
      <c r="D21" s="35">
        <f>240+2.555+91.6</f>
        <v>334.155</v>
      </c>
      <c r="E21" s="35">
        <f>74+207.85</f>
        <v>281.85</v>
      </c>
      <c r="F21" s="44">
        <v>0</v>
      </c>
      <c r="G21" s="44">
        <f>42.81+242+0.02+1.16</f>
        <v>285.99</v>
      </c>
      <c r="H21" s="44">
        <f>2.2+65.95</f>
        <v>68.15</v>
      </c>
      <c r="I21" s="44">
        <v>43</v>
      </c>
      <c r="J21" s="44">
        <f>42.79+48</f>
        <v>90.78999999999999</v>
      </c>
      <c r="K21" s="35">
        <f>44+2268</f>
        <v>2312</v>
      </c>
      <c r="L21" s="35">
        <f>42.8+166+0.054+5.489</f>
        <v>214.34300000000002</v>
      </c>
      <c r="M21" s="35">
        <v>112</v>
      </c>
      <c r="N21" s="36">
        <f>64+16+4</f>
        <v>84</v>
      </c>
      <c r="O21" s="66">
        <f t="shared" si="0"/>
        <v>3873.2479999999996</v>
      </c>
      <c r="P21" s="79"/>
      <c r="Q21" s="79"/>
      <c r="R21" s="182"/>
      <c r="S21" s="79"/>
      <c r="T21" s="79"/>
    </row>
    <row r="22" spans="1:20" s="12" customFormat="1" ht="12.75">
      <c r="A22" s="196"/>
      <c r="B22" s="165" t="s">
        <v>37</v>
      </c>
      <c r="C22" s="34">
        <v>0</v>
      </c>
      <c r="D22" s="35">
        <v>0</v>
      </c>
      <c r="E22" s="35">
        <v>0</v>
      </c>
      <c r="F22" s="44">
        <v>0</v>
      </c>
      <c r="G22" s="44">
        <v>4</v>
      </c>
      <c r="H22" s="44">
        <v>0.08</v>
      </c>
      <c r="I22" s="44">
        <v>0.095</v>
      </c>
      <c r="J22" s="44">
        <v>0.06</v>
      </c>
      <c r="K22" s="35">
        <v>0</v>
      </c>
      <c r="L22" s="35">
        <v>0</v>
      </c>
      <c r="M22" s="35">
        <v>0</v>
      </c>
      <c r="N22" s="36">
        <v>0</v>
      </c>
      <c r="O22" s="66">
        <f t="shared" si="0"/>
        <v>4.234999999999999</v>
      </c>
      <c r="P22" s="79"/>
      <c r="Q22" s="79"/>
      <c r="R22" s="183"/>
      <c r="S22" s="79"/>
      <c r="T22" s="79"/>
    </row>
    <row r="23" spans="1:20" s="12" customFormat="1" ht="12.75">
      <c r="A23" s="196"/>
      <c r="B23" s="165" t="s">
        <v>33</v>
      </c>
      <c r="C23" s="34">
        <v>225</v>
      </c>
      <c r="D23" s="35">
        <v>267.453</v>
      </c>
      <c r="E23" s="35">
        <f>3.27+0.054</f>
        <v>3.324</v>
      </c>
      <c r="F23" s="44">
        <v>0</v>
      </c>
      <c r="G23" s="44">
        <v>0</v>
      </c>
      <c r="H23" s="44">
        <v>0</v>
      </c>
      <c r="I23" s="44">
        <v>0.05</v>
      </c>
      <c r="J23" s="44">
        <v>0</v>
      </c>
      <c r="K23" s="35">
        <v>0.528</v>
      </c>
      <c r="L23" s="35">
        <f>368+0.528</f>
        <v>368.528</v>
      </c>
      <c r="M23" s="35">
        <v>413</v>
      </c>
      <c r="N23" s="36">
        <f>11+16</f>
        <v>27</v>
      </c>
      <c r="O23" s="66">
        <f t="shared" si="0"/>
        <v>1304.883</v>
      </c>
      <c r="P23" s="79"/>
      <c r="Q23" s="79"/>
      <c r="R23" s="182"/>
      <c r="S23" s="79"/>
      <c r="T23" s="79"/>
    </row>
    <row r="24" spans="1:20" s="12" customFormat="1" ht="12.75">
      <c r="A24" s="196"/>
      <c r="B24" s="165" t="s">
        <v>103</v>
      </c>
      <c r="C24" s="34">
        <f>103.9+22.5+0.413+9.449+0.001+0.001+1+0.418+593.215+0.335+0.273+1.8</f>
        <v>733.3050000000001</v>
      </c>
      <c r="D24" s="35">
        <f>0.517+126.75+19.7+50+0.003+15.75+0.499+0.15+5.025+0.004+0.04+6.38+0.89+0.83+4.055+6.688+0.51</f>
        <v>237.79099999999994</v>
      </c>
      <c r="E24" s="35">
        <f>211.25+0.215+7+0.436+0.02+7.34+1.28+0.43+12.804+7.628+0.294+20.31</f>
        <v>269.007</v>
      </c>
      <c r="F24" s="44">
        <f>83.77+26.4+5.29+10.52+0.475+9.93+0.0081022+1.6+1.949+2.7+83.77+5.292</f>
        <v>231.7041022</v>
      </c>
      <c r="G24" s="44">
        <f>3.755+126+4028+3.276+0.057+0.19+230+0.244+12.86+0.955+22.5</f>
        <v>4427.836999999999</v>
      </c>
      <c r="H24" s="44">
        <f>0.002+0.002+0.005+0.6+14.04+45</f>
        <v>59.649</v>
      </c>
      <c r="I24" s="44">
        <f>8+5+0.025+0.655+257.3+0.769+1.07+2.236+1.872+22+5.25</f>
        <v>304.177</v>
      </c>
      <c r="J24" s="44">
        <f>11.4+0.775+22.8+23.1+0.05+0.2</f>
        <v>58.325</v>
      </c>
      <c r="K24" s="35">
        <f>24+0.002+0.6+0.034+0.491+14.62+0.1</f>
        <v>39.847</v>
      </c>
      <c r="L24" s="35">
        <f>0.1+13.75+0.115+21.88</f>
        <v>35.845</v>
      </c>
      <c r="M24" s="35">
        <f>20+40+0.06+0.65+14.04</f>
        <v>74.75</v>
      </c>
      <c r="N24" s="36">
        <f>18+0.475+0.09+2.189+0.317</f>
        <v>21.071</v>
      </c>
      <c r="O24" s="66">
        <f t="shared" si="0"/>
        <v>6493.308102199999</v>
      </c>
      <c r="P24" s="79"/>
      <c r="Q24" s="79"/>
      <c r="R24" s="183"/>
      <c r="S24" s="79"/>
      <c r="T24" s="79"/>
    </row>
    <row r="25" spans="1:20" s="12" customFormat="1" ht="12.75">
      <c r="A25" s="196"/>
      <c r="B25" s="165" t="s">
        <v>11</v>
      </c>
      <c r="C25" s="34">
        <f>555.94+1850+519.98+1000+10.716</f>
        <v>3936.636</v>
      </c>
      <c r="D25" s="35">
        <f>115.5+188.4+6.34+4300+940</f>
        <v>5550.24</v>
      </c>
      <c r="E25" s="35">
        <f>20+8+188.4+2.007+0.06+20.125</f>
        <v>238.592</v>
      </c>
      <c r="F25" s="44">
        <f>39.33+44.05+2000+208</f>
        <v>2291.38</v>
      </c>
      <c r="G25" s="44">
        <f>40+80.5</f>
        <v>120.5</v>
      </c>
      <c r="H25" s="44">
        <f>2.122+17+0.085</f>
        <v>19.207</v>
      </c>
      <c r="I25" s="44">
        <f>94.2+22+2000+208</f>
        <v>2324.2</v>
      </c>
      <c r="J25" s="44">
        <f>8.31+1000+1.21+0.07</f>
        <v>1009.59</v>
      </c>
      <c r="K25" s="35">
        <f>19.2+9.5</f>
        <v>28.7</v>
      </c>
      <c r="L25" s="35">
        <f>12.354+170+1450</f>
        <v>1632.354</v>
      </c>
      <c r="M25" s="35">
        <f>147+126+800.2</f>
        <v>1073.2</v>
      </c>
      <c r="N25" s="36">
        <f>1514+3.032</f>
        <v>1517.032</v>
      </c>
      <c r="O25" s="66">
        <f t="shared" si="0"/>
        <v>19741.631</v>
      </c>
      <c r="P25" s="79"/>
      <c r="Q25" s="79"/>
      <c r="R25" s="182"/>
      <c r="S25" s="79"/>
      <c r="T25" s="79"/>
    </row>
    <row r="26" spans="1:20" s="12" customFormat="1" ht="12.75">
      <c r="A26" s="196"/>
      <c r="B26" s="165" t="s">
        <v>38</v>
      </c>
      <c r="C26" s="34">
        <v>0</v>
      </c>
      <c r="D26" s="35">
        <v>336</v>
      </c>
      <c r="E26" s="35">
        <v>720</v>
      </c>
      <c r="F26" s="44">
        <v>0</v>
      </c>
      <c r="G26" s="44">
        <v>67.2</v>
      </c>
      <c r="H26" s="44">
        <v>262.5</v>
      </c>
      <c r="I26" s="44">
        <v>0</v>
      </c>
      <c r="J26" s="44">
        <v>0</v>
      </c>
      <c r="K26" s="35">
        <v>0</v>
      </c>
      <c r="L26" s="35">
        <f>170.1</f>
        <v>170.1</v>
      </c>
      <c r="M26" s="35">
        <v>0</v>
      </c>
      <c r="N26" s="36">
        <v>0</v>
      </c>
      <c r="O26" s="66">
        <f t="shared" si="0"/>
        <v>1555.8</v>
      </c>
      <c r="P26" s="79"/>
      <c r="Q26" s="79"/>
      <c r="R26" s="183"/>
      <c r="S26" s="79"/>
      <c r="T26" s="79"/>
    </row>
    <row r="27" spans="1:20" s="12" customFormat="1" ht="12.75">
      <c r="A27" s="196"/>
      <c r="B27" s="165" t="s">
        <v>39</v>
      </c>
      <c r="C27" s="34">
        <f>378.5+4.301+0.356+1.878+3.029+2.663+0.029+0.334+0.005+0.308+0.115+0.146+2.37</f>
        <v>394.034</v>
      </c>
      <c r="D27" s="35">
        <f>24+655+1.275+2.589+7.757+4.683+0.008+0.005+20.228+0.288+1.057+0.173+0.006</f>
        <v>717.069</v>
      </c>
      <c r="E27" s="35">
        <f>0.628+1.883+2.076+2+3213+0.575+1.3+17.944+441+61.2+0.035+0.01+0.708+2.045+0.169+28.345</f>
        <v>3772.9179999999997</v>
      </c>
      <c r="F27" s="44">
        <f>0.272+2.57+10.12+358+105+0.3+0.256+2.14+0.007+0.021+22.141+0.25+1.11+3.5+0.45+0.255</f>
        <v>506.392</v>
      </c>
      <c r="G27" s="44">
        <f>0.102+0.66+0.65+1+1+0.004+1.3+8.6+1.502+0.339+19.63+42+0.017+3.46+14.16+0.95+3.577+0.37+0.4</f>
        <v>99.721</v>
      </c>
      <c r="H27" s="44">
        <f>0.058+0.994+1.188+0.35+2.761+4.258+163.2+0.002+0.003+8.677+0.9+2.887</f>
        <v>185.278</v>
      </c>
      <c r="I27" s="44">
        <f>2+3.71+0.909+1.3+5.053+210+21+0.04+0.105+2.095+2.74+1.3+0.47</f>
        <v>250.722</v>
      </c>
      <c r="J27" s="44">
        <f>0.208+24+2.199+0.1+3.581+1.482+8.936+6.74+178.5+0.026+0.001+0.003+19.29</f>
        <v>245.066</v>
      </c>
      <c r="K27" s="35">
        <f>0.835+1.6958+989+79.2+168+0.002+0.005+0.004+0.032+8.14+0.324+0.55+1.508+1.88</f>
        <v>1251.1758000000002</v>
      </c>
      <c r="L27" s="35">
        <f>0.223+0.275+0.188+0.794+0.83+336+20.4+42+0.068+9+10+1.645+0.4+0.4+0.625+0.41+1.1+138+9</f>
        <v>571.358</v>
      </c>
      <c r="M27" s="35">
        <f>1+3+2+2.266+1.72+2.735+253+123.375+0.003+0.08+1.611+5.08+2.033+7+0.1</f>
        <v>405.003</v>
      </c>
      <c r="N27" s="36">
        <f>4.45+2.375+1.549+4+1.072+1.5+0.833+1.4+294+0.117+0.157+0.028+0.14+34.188+3+1.862+0.34</f>
        <v>351.01099999999997</v>
      </c>
      <c r="O27" s="66">
        <f t="shared" si="0"/>
        <v>8749.747800000001</v>
      </c>
      <c r="P27" s="79"/>
      <c r="Q27" s="79"/>
      <c r="R27" s="182"/>
      <c r="S27" s="79"/>
      <c r="T27" s="79"/>
    </row>
    <row r="28" spans="1:20" s="12" customFormat="1" ht="12.75">
      <c r="A28" s="196"/>
      <c r="B28" s="165" t="s">
        <v>40</v>
      </c>
      <c r="C28" s="34">
        <v>0</v>
      </c>
      <c r="D28" s="35">
        <v>0</v>
      </c>
      <c r="E28" s="35">
        <v>48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35">
        <v>0</v>
      </c>
      <c r="L28" s="35">
        <v>0</v>
      </c>
      <c r="M28" s="35">
        <v>0</v>
      </c>
      <c r="N28" s="36">
        <v>0</v>
      </c>
      <c r="O28" s="66">
        <f t="shared" si="0"/>
        <v>48</v>
      </c>
      <c r="P28" s="79"/>
      <c r="Q28" s="79"/>
      <c r="R28" s="183"/>
      <c r="S28" s="79"/>
      <c r="T28" s="79"/>
    </row>
    <row r="29" spans="1:20" s="12" customFormat="1" ht="12.75">
      <c r="A29" s="196"/>
      <c r="B29" s="165" t="s">
        <v>12</v>
      </c>
      <c r="C29" s="34">
        <f>110+0.142+75.41+16.5+72+15.584+93.9+0.166+22.821</f>
        <v>406.5230000000001</v>
      </c>
      <c r="D29" s="35">
        <f>94+49.3+7+215+4.32</f>
        <v>369.62</v>
      </c>
      <c r="E29" s="35">
        <f>76.93+706+18.71+0.047+43.927+0.11+470.1+4.177+2.166+1.88</f>
        <v>1324.047</v>
      </c>
      <c r="F29" s="44">
        <f>154+104.4+17.99+21.5+16.87+0.043+120.3+59.79+2.268</f>
        <v>497.161</v>
      </c>
      <c r="G29" s="44">
        <f>264+20+284.9+256.5+59.85+185.4+0.3+2.387</f>
        <v>1073.337</v>
      </c>
      <c r="H29" s="44">
        <f>363.5+179.8+34.8+256.8+1.58+8.998</f>
        <v>845.478</v>
      </c>
      <c r="I29" s="44">
        <f>305.8+17.5+14.49+0.025+1+1</f>
        <v>339.815</v>
      </c>
      <c r="J29" s="44">
        <f>286.6+17.5+3+0.265+1.25+0.095</f>
        <v>308.71000000000004</v>
      </c>
      <c r="K29" s="35">
        <f>470.7+21.5+16+26</f>
        <v>534.2</v>
      </c>
      <c r="L29" s="35">
        <f>437.1+177.8+18+638+1000+48.62+24</f>
        <v>2343.52</v>
      </c>
      <c r="M29" s="35">
        <f>700+6.34+303.2+160+108+0.284+43+28</f>
        <v>1348.824</v>
      </c>
      <c r="N29" s="36">
        <f>862.5+726+113.6+0.02</f>
        <v>1702.12</v>
      </c>
      <c r="O29" s="66">
        <f t="shared" si="0"/>
        <v>11093.355</v>
      </c>
      <c r="P29" s="79"/>
      <c r="Q29" s="79"/>
      <c r="R29" s="182"/>
      <c r="S29" s="79"/>
      <c r="T29" s="79"/>
    </row>
    <row r="30" spans="1:20" s="12" customFormat="1" ht="12.75">
      <c r="A30" s="196"/>
      <c r="B30" s="165" t="s">
        <v>13</v>
      </c>
      <c r="C30" s="34">
        <f>135+44.696+139.07</f>
        <v>318.76599999999996</v>
      </c>
      <c r="D30" s="35">
        <f>25.6+252+472+249+5</f>
        <v>1003.6</v>
      </c>
      <c r="E30" s="35">
        <f>226.01+323+200+18.752</f>
        <v>767.762</v>
      </c>
      <c r="F30" s="44">
        <f>244.5+0.38+49+19.117+19.313+8</f>
        <v>340.31</v>
      </c>
      <c r="G30" s="44">
        <f>266+3.684+10.99+52.42</f>
        <v>333.09400000000005</v>
      </c>
      <c r="H30" s="44">
        <f>499.3+125</f>
        <v>624.3</v>
      </c>
      <c r="I30" s="44">
        <f>21.5+147+0.541</f>
        <v>169.041</v>
      </c>
      <c r="J30" s="44">
        <f>159.4+23</f>
        <v>182.4</v>
      </c>
      <c r="K30" s="35">
        <f>93.24+135</f>
        <v>228.24</v>
      </c>
      <c r="L30" s="35">
        <v>83.84</v>
      </c>
      <c r="M30" s="35">
        <f>9.825+0.007+105+20.75+0.802+26.49</f>
        <v>162.874</v>
      </c>
      <c r="N30" s="36">
        <f>53.4+298.3</f>
        <v>351.7</v>
      </c>
      <c r="O30" s="66">
        <f t="shared" si="0"/>
        <v>4565.927</v>
      </c>
      <c r="P30" s="79"/>
      <c r="Q30" s="79"/>
      <c r="R30" s="178"/>
      <c r="S30" s="79"/>
      <c r="T30" s="79"/>
    </row>
    <row r="31" spans="1:20" s="12" customFormat="1" ht="12.75">
      <c r="A31" s="196"/>
      <c r="B31" s="165" t="s">
        <v>14</v>
      </c>
      <c r="C31" s="34">
        <v>0.01</v>
      </c>
      <c r="D31" s="35">
        <f>1.023+0.021</f>
        <v>1.0439999999999998</v>
      </c>
      <c r="E31" s="35">
        <v>3.8</v>
      </c>
      <c r="F31" s="44">
        <f>0.019+0.003</f>
        <v>0.022</v>
      </c>
      <c r="G31" s="44">
        <v>24.83</v>
      </c>
      <c r="H31" s="44">
        <f>3.891+0.019+4.263</f>
        <v>8.173</v>
      </c>
      <c r="I31" s="44">
        <f>3+2.217</f>
        <v>5.2170000000000005</v>
      </c>
      <c r="J31" s="44">
        <v>0.002</v>
      </c>
      <c r="K31" s="35">
        <v>0.001</v>
      </c>
      <c r="L31" s="35">
        <f>5+1.25</f>
        <v>6.25</v>
      </c>
      <c r="M31" s="35">
        <v>0</v>
      </c>
      <c r="N31" s="36">
        <v>0</v>
      </c>
      <c r="O31" s="66">
        <f t="shared" si="0"/>
        <v>49.349</v>
      </c>
      <c r="P31" s="79"/>
      <c r="Q31" s="79"/>
      <c r="R31" s="183"/>
      <c r="S31" s="79"/>
      <c r="T31" s="79"/>
    </row>
    <row r="32" spans="1:20" s="12" customFormat="1" ht="12.75">
      <c r="A32" s="196"/>
      <c r="B32" s="165" t="s">
        <v>224</v>
      </c>
      <c r="C32" s="34">
        <v>0.6</v>
      </c>
      <c r="D32" s="35">
        <v>0</v>
      </c>
      <c r="E32" s="35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35">
        <v>0</v>
      </c>
      <c r="L32" s="35">
        <v>0</v>
      </c>
      <c r="M32" s="35">
        <v>0</v>
      </c>
      <c r="N32" s="36">
        <v>0</v>
      </c>
      <c r="O32" s="66">
        <f t="shared" si="0"/>
        <v>0.6</v>
      </c>
      <c r="P32" s="79"/>
      <c r="Q32" s="79"/>
      <c r="R32" s="178"/>
      <c r="S32" s="79"/>
      <c r="T32" s="79"/>
    </row>
    <row r="33" spans="1:20" s="12" customFormat="1" ht="12.75">
      <c r="A33" s="196"/>
      <c r="B33" s="165" t="s">
        <v>15</v>
      </c>
      <c r="C33" s="34">
        <f>14.58+113.3+19+10+13</f>
        <v>169.88</v>
      </c>
      <c r="D33" s="35">
        <f>2.64+0.7+13.056+20</f>
        <v>36.396</v>
      </c>
      <c r="E33" s="35">
        <f>54.65+21+12.6+7.36+9+1.46</f>
        <v>106.07</v>
      </c>
      <c r="F33" s="44">
        <f>5+126.9+0.078+2.553+14.62</f>
        <v>149.151</v>
      </c>
      <c r="G33" s="44">
        <v>0</v>
      </c>
      <c r="H33" s="44">
        <f>1.922+76.85+1.153+90+25</f>
        <v>194.925</v>
      </c>
      <c r="I33" s="44">
        <f>0.013+12.403+1.4</f>
        <v>13.816</v>
      </c>
      <c r="J33" s="44">
        <f>90.98+1.725+11.95+9.36+42</f>
        <v>156.015</v>
      </c>
      <c r="K33" s="35">
        <f>11+4762+13.35+10</f>
        <v>4796.35</v>
      </c>
      <c r="L33" s="35">
        <f>11.92+7.85</f>
        <v>19.77</v>
      </c>
      <c r="M33" s="35">
        <f>9+12.8+0.204</f>
        <v>22.004</v>
      </c>
      <c r="N33" s="36">
        <f>13+50</f>
        <v>63</v>
      </c>
      <c r="O33" s="66">
        <f t="shared" si="0"/>
        <v>5727.377</v>
      </c>
      <c r="P33" s="79"/>
      <c r="Q33" s="79"/>
      <c r="R33" s="183"/>
      <c r="S33" s="79"/>
      <c r="T33" s="79"/>
    </row>
    <row r="34" spans="1:39" s="9" customFormat="1" ht="12.75">
      <c r="A34" s="196"/>
      <c r="B34" s="165" t="s">
        <v>16</v>
      </c>
      <c r="C34" s="34">
        <v>0</v>
      </c>
      <c r="D34" s="35">
        <v>0</v>
      </c>
      <c r="E34" s="35">
        <v>0.45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35">
        <v>0</v>
      </c>
      <c r="L34" s="35">
        <v>0</v>
      </c>
      <c r="M34" s="35">
        <v>0</v>
      </c>
      <c r="N34" s="36">
        <v>0</v>
      </c>
      <c r="O34" s="66">
        <f t="shared" si="0"/>
        <v>0.45</v>
      </c>
      <c r="R34" s="183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 spans="1:38" s="9" customFormat="1" ht="12.75">
      <c r="A35" s="196"/>
      <c r="B35" s="165" t="s">
        <v>17</v>
      </c>
      <c r="C35" s="34">
        <f>19.99+5257+648+2467</f>
        <v>8391.99</v>
      </c>
      <c r="D35" s="35">
        <f>43+5666+6192+10270</f>
        <v>22171</v>
      </c>
      <c r="E35" s="35">
        <f>20+41.5+2623+3297+2294+10496+9822.3</f>
        <v>28593.8</v>
      </c>
      <c r="F35" s="44">
        <f>105+4373+10151+1579</f>
        <v>16208</v>
      </c>
      <c r="G35" s="44">
        <f>2809+8209</f>
        <v>11018</v>
      </c>
      <c r="H35" s="44">
        <f>21.5+4855.5+2872.5+12576</f>
        <v>20325.5</v>
      </c>
      <c r="I35" s="44">
        <f>7760+1+2000+11655</f>
        <v>21416</v>
      </c>
      <c r="J35" s="44">
        <f>7315+14982</f>
        <v>22297</v>
      </c>
      <c r="K35" s="35">
        <f>1909+500+20362</f>
        <v>22771</v>
      </c>
      <c r="L35" s="35">
        <f>10126+5359+36235</f>
        <v>51720</v>
      </c>
      <c r="M35" s="35">
        <f>4088+995+31055</f>
        <v>36138</v>
      </c>
      <c r="N35" s="36">
        <f>63.034+3045+1000+1000+21144</f>
        <v>26252.034</v>
      </c>
      <c r="O35" s="66">
        <f t="shared" si="0"/>
        <v>287302.32399999996</v>
      </c>
      <c r="R35" s="183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</row>
    <row r="36" spans="1:39" s="9" customFormat="1" ht="12.75">
      <c r="A36" s="196"/>
      <c r="B36" s="165" t="s">
        <v>225</v>
      </c>
      <c r="C36" s="100">
        <v>0</v>
      </c>
      <c r="D36" s="101">
        <v>0</v>
      </c>
      <c r="E36" s="101">
        <v>23.52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101">
        <v>0</v>
      </c>
      <c r="L36" s="101">
        <v>0</v>
      </c>
      <c r="M36" s="101">
        <v>11.42</v>
      </c>
      <c r="N36" s="102">
        <v>0</v>
      </c>
      <c r="O36" s="66">
        <f t="shared" si="0"/>
        <v>34.94</v>
      </c>
      <c r="R36" s="182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</row>
    <row r="37" spans="1:38" s="9" customFormat="1" ht="12.75">
      <c r="A37" s="196"/>
      <c r="B37" s="165" t="s">
        <v>18</v>
      </c>
      <c r="C37" s="100">
        <v>0</v>
      </c>
      <c r="D37" s="101">
        <v>0</v>
      </c>
      <c r="E37" s="101">
        <v>0</v>
      </c>
      <c r="F37" s="44">
        <v>9.138</v>
      </c>
      <c r="G37" s="44">
        <v>0</v>
      </c>
      <c r="H37" s="44">
        <f>2.6+0.512</f>
        <v>3.112</v>
      </c>
      <c r="I37" s="44">
        <v>6</v>
      </c>
      <c r="J37" s="44">
        <v>0</v>
      </c>
      <c r="K37" s="101">
        <v>0</v>
      </c>
      <c r="L37" s="101">
        <v>0</v>
      </c>
      <c r="M37" s="101">
        <v>0</v>
      </c>
      <c r="N37" s="102">
        <v>0</v>
      </c>
      <c r="O37" s="66">
        <f t="shared" si="0"/>
        <v>18.25</v>
      </c>
      <c r="R37" s="183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</row>
    <row r="38" spans="1:38" s="9" customFormat="1" ht="12.75">
      <c r="A38" s="196"/>
      <c r="B38" s="165" t="s">
        <v>41</v>
      </c>
      <c r="C38" s="100">
        <v>76.9</v>
      </c>
      <c r="D38" s="101">
        <v>0</v>
      </c>
      <c r="E38" s="101">
        <v>0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101">
        <v>0</v>
      </c>
      <c r="L38" s="101">
        <v>0</v>
      </c>
      <c r="M38" s="101">
        <v>0</v>
      </c>
      <c r="N38" s="102">
        <v>0</v>
      </c>
      <c r="O38" s="66">
        <f t="shared" si="0"/>
        <v>76.9</v>
      </c>
      <c r="R38" s="183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</row>
    <row r="39" spans="1:38" s="9" customFormat="1" ht="12.75">
      <c r="A39" s="196"/>
      <c r="B39" s="165" t="s">
        <v>21</v>
      </c>
      <c r="C39" s="100">
        <f>120+0.45</f>
        <v>120.45</v>
      </c>
      <c r="D39" s="101">
        <v>109.74</v>
      </c>
      <c r="E39" s="101">
        <v>384</v>
      </c>
      <c r="F39" s="44">
        <v>220</v>
      </c>
      <c r="G39" s="44">
        <f>288+7</f>
        <v>295</v>
      </c>
      <c r="H39" s="44">
        <v>240</v>
      </c>
      <c r="I39" s="44">
        <v>384</v>
      </c>
      <c r="J39" s="44">
        <v>528</v>
      </c>
      <c r="K39" s="101">
        <v>120</v>
      </c>
      <c r="L39" s="101">
        <v>120</v>
      </c>
      <c r="M39" s="101">
        <v>0</v>
      </c>
      <c r="N39" s="102">
        <v>0</v>
      </c>
      <c r="O39" s="66">
        <f t="shared" si="0"/>
        <v>2521.19</v>
      </c>
      <c r="R39" s="182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</row>
    <row r="40" spans="1:38" s="9" customFormat="1" ht="12.75">
      <c r="A40" s="196"/>
      <c r="B40" s="165" t="s">
        <v>32</v>
      </c>
      <c r="C40" s="100">
        <v>0.175</v>
      </c>
      <c r="D40" s="101">
        <v>0</v>
      </c>
      <c r="E40" s="101">
        <v>5.33</v>
      </c>
      <c r="F40" s="44">
        <v>0</v>
      </c>
      <c r="G40" s="44">
        <v>0</v>
      </c>
      <c r="H40" s="44">
        <v>0</v>
      </c>
      <c r="I40" s="44">
        <v>0.14</v>
      </c>
      <c r="J40" s="44">
        <v>0</v>
      </c>
      <c r="K40" s="101">
        <v>0</v>
      </c>
      <c r="L40" s="101">
        <v>0</v>
      </c>
      <c r="M40" s="101">
        <v>0</v>
      </c>
      <c r="N40" s="102">
        <v>0</v>
      </c>
      <c r="O40" s="66">
        <f t="shared" si="0"/>
        <v>5.645</v>
      </c>
      <c r="R40" s="178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1:38" s="9" customFormat="1" ht="12.75">
      <c r="A41" s="196"/>
      <c r="B41" s="165" t="s">
        <v>42</v>
      </c>
      <c r="C41" s="100">
        <v>0</v>
      </c>
      <c r="D41" s="101">
        <v>0</v>
      </c>
      <c r="E41" s="101">
        <v>0</v>
      </c>
      <c r="F41" s="44">
        <v>0</v>
      </c>
      <c r="G41" s="44">
        <v>0</v>
      </c>
      <c r="H41" s="44">
        <v>0</v>
      </c>
      <c r="I41" s="44">
        <v>0</v>
      </c>
      <c r="J41" s="44">
        <v>20.04</v>
      </c>
      <c r="K41" s="101">
        <v>0</v>
      </c>
      <c r="L41" s="101">
        <v>0</v>
      </c>
      <c r="M41" s="101">
        <v>0</v>
      </c>
      <c r="N41" s="102">
        <v>0</v>
      </c>
      <c r="O41" s="66">
        <f t="shared" si="0"/>
        <v>20.04</v>
      </c>
      <c r="R41" s="183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</row>
    <row r="42" spans="1:39" s="9" customFormat="1" ht="12.75">
      <c r="A42" s="196"/>
      <c r="B42" s="165" t="s">
        <v>19</v>
      </c>
      <c r="C42" s="100">
        <v>42</v>
      </c>
      <c r="D42" s="101">
        <v>0</v>
      </c>
      <c r="E42" s="101">
        <f>40+26.01</f>
        <v>66.01</v>
      </c>
      <c r="F42" s="44">
        <v>0</v>
      </c>
      <c r="G42" s="44">
        <v>39.71</v>
      </c>
      <c r="H42" s="44">
        <v>0</v>
      </c>
      <c r="I42" s="44">
        <v>0</v>
      </c>
      <c r="J42" s="44">
        <v>18.57</v>
      </c>
      <c r="K42" s="101">
        <f>67.76+1.085+1603</f>
        <v>1671.845</v>
      </c>
      <c r="L42" s="101">
        <v>26.01</v>
      </c>
      <c r="M42" s="101">
        <v>82.88</v>
      </c>
      <c r="N42" s="102">
        <v>26.01</v>
      </c>
      <c r="O42" s="66">
        <f t="shared" si="0"/>
        <v>1973.035</v>
      </c>
      <c r="R42" s="183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</row>
    <row r="43" spans="1:35" s="9" customFormat="1" ht="12.75">
      <c r="A43" s="196"/>
      <c r="B43" s="165" t="s">
        <v>226</v>
      </c>
      <c r="C43" s="100">
        <v>0</v>
      </c>
      <c r="D43" s="101">
        <v>0</v>
      </c>
      <c r="E43" s="101">
        <v>0.035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101">
        <v>20</v>
      </c>
      <c r="L43" s="101">
        <v>0</v>
      </c>
      <c r="M43" s="101">
        <v>0</v>
      </c>
      <c r="N43" s="102">
        <v>0</v>
      </c>
      <c r="O43" s="66">
        <f t="shared" si="0"/>
        <v>20.035</v>
      </c>
      <c r="R43" s="178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1:35" s="9" customFormat="1" ht="12.75">
      <c r="A44" s="196"/>
      <c r="B44" s="165" t="s">
        <v>43</v>
      </c>
      <c r="C44" s="100">
        <v>0</v>
      </c>
      <c r="D44" s="101">
        <v>0</v>
      </c>
      <c r="E44" s="101">
        <v>0</v>
      </c>
      <c r="F44" s="44">
        <v>91</v>
      </c>
      <c r="G44" s="44">
        <v>23</v>
      </c>
      <c r="H44" s="44">
        <v>0</v>
      </c>
      <c r="I44" s="44">
        <v>0</v>
      </c>
      <c r="J44" s="44">
        <v>0</v>
      </c>
      <c r="K44" s="101">
        <v>0</v>
      </c>
      <c r="L44" s="101">
        <v>0</v>
      </c>
      <c r="M44" s="101">
        <v>0</v>
      </c>
      <c r="N44" s="102">
        <v>0</v>
      </c>
      <c r="O44" s="66">
        <f t="shared" si="0"/>
        <v>114</v>
      </c>
      <c r="R44" s="178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spans="1:35" s="9" customFormat="1" ht="12.75">
      <c r="A45" s="196"/>
      <c r="B45" s="165" t="s">
        <v>44</v>
      </c>
      <c r="C45" s="100">
        <v>18.39</v>
      </c>
      <c r="D45" s="101">
        <v>0</v>
      </c>
      <c r="E45" s="101">
        <v>0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101">
        <v>0</v>
      </c>
      <c r="L45" s="101">
        <v>0</v>
      </c>
      <c r="M45" s="101">
        <v>0</v>
      </c>
      <c r="N45" s="102">
        <v>0</v>
      </c>
      <c r="O45" s="66">
        <f t="shared" si="0"/>
        <v>18.39</v>
      </c>
      <c r="R45" s="183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spans="1:35" s="9" customFormat="1" ht="12.75">
      <c r="A46" s="196"/>
      <c r="B46" s="165" t="s">
        <v>45</v>
      </c>
      <c r="C46" s="100">
        <v>6776.1</v>
      </c>
      <c r="D46" s="101">
        <v>4740</v>
      </c>
      <c r="E46" s="101">
        <f>1000+60+6327.7</f>
        <v>7387.7</v>
      </c>
      <c r="F46" s="44">
        <f>7675.7+20</f>
        <v>7695.7</v>
      </c>
      <c r="G46" s="44">
        <f>5372+20</f>
        <v>5392</v>
      </c>
      <c r="H46" s="44">
        <v>0</v>
      </c>
      <c r="I46" s="44">
        <f>9123+20</f>
        <v>9143</v>
      </c>
      <c r="J46" s="44">
        <v>20</v>
      </c>
      <c r="K46" s="101">
        <f>5965+15.6+619.4</f>
        <v>6600</v>
      </c>
      <c r="L46" s="101">
        <v>6319</v>
      </c>
      <c r="M46" s="101">
        <f>6132.4+20</f>
        <v>6152.4</v>
      </c>
      <c r="N46" s="102">
        <v>3634</v>
      </c>
      <c r="O46" s="66">
        <f t="shared" si="0"/>
        <v>63859.9</v>
      </c>
      <c r="R46" s="183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spans="1:35" s="9" customFormat="1" ht="12.75">
      <c r="A47" s="196"/>
      <c r="B47" s="165" t="s">
        <v>46</v>
      </c>
      <c r="C47" s="100">
        <f>192.959+20.88+10+35.09</f>
        <v>258.929</v>
      </c>
      <c r="D47" s="101">
        <f>21+18.5+85.013+11+10+178.711</f>
        <v>324.22400000000005</v>
      </c>
      <c r="E47" s="101">
        <f>42+17+22.01+26+40</f>
        <v>147.01</v>
      </c>
      <c r="F47" s="44">
        <f>39+20+101.9</f>
        <v>160.9</v>
      </c>
      <c r="G47" s="44">
        <f>41.77+20+1750</f>
        <v>1811.77</v>
      </c>
      <c r="H47" s="44">
        <f>56.092+21+18.35+26.055+4750</f>
        <v>4871.497</v>
      </c>
      <c r="I47" s="44">
        <f>17+20+52.5</f>
        <v>89.5</v>
      </c>
      <c r="J47" s="44">
        <f>32.95+263.8</f>
        <v>296.75</v>
      </c>
      <c r="K47" s="101">
        <f>33.13+10+50+2113</f>
        <v>2206.13</v>
      </c>
      <c r="L47" s="101">
        <f>66+76.78+6300</f>
        <v>6442.78</v>
      </c>
      <c r="M47" s="101">
        <f>22+40+116+43+700</f>
        <v>921</v>
      </c>
      <c r="N47" s="102">
        <f>51.63+156.3+300+1799</f>
        <v>2306.93</v>
      </c>
      <c r="O47" s="66">
        <f t="shared" si="0"/>
        <v>19837.42</v>
      </c>
      <c r="R47" s="178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spans="1:35" s="9" customFormat="1" ht="12.75">
      <c r="A48" s="196"/>
      <c r="B48" s="165" t="s">
        <v>20</v>
      </c>
      <c r="C48" s="100">
        <v>0</v>
      </c>
      <c r="D48" s="101">
        <v>0</v>
      </c>
      <c r="E48" s="101">
        <v>0</v>
      </c>
      <c r="F48" s="44">
        <v>0</v>
      </c>
      <c r="G48" s="44">
        <v>1.004</v>
      </c>
      <c r="H48" s="44">
        <v>0</v>
      </c>
      <c r="I48" s="44">
        <v>0</v>
      </c>
      <c r="J48" s="44">
        <v>0</v>
      </c>
      <c r="K48" s="101">
        <v>0</v>
      </c>
      <c r="L48" s="101">
        <f>0.402+15</f>
        <v>15.402</v>
      </c>
      <c r="M48" s="101">
        <v>0.5</v>
      </c>
      <c r="N48" s="102">
        <v>0</v>
      </c>
      <c r="O48" s="66">
        <f t="shared" si="0"/>
        <v>16.906</v>
      </c>
      <c r="R48" s="183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s="9" customFormat="1" ht="12.75">
      <c r="A49" s="196"/>
      <c r="B49" s="165" t="s">
        <v>47</v>
      </c>
      <c r="C49" s="100">
        <f>20+2012.6</f>
        <v>2032.6</v>
      </c>
      <c r="D49" s="101">
        <v>0</v>
      </c>
      <c r="E49" s="101">
        <f>9.6+31.4+771.91</f>
        <v>812.91</v>
      </c>
      <c r="F49" s="44">
        <f>40+20</f>
        <v>60</v>
      </c>
      <c r="G49" s="44">
        <v>0</v>
      </c>
      <c r="H49" s="44">
        <v>20</v>
      </c>
      <c r="I49" s="44">
        <v>0</v>
      </c>
      <c r="J49" s="44">
        <v>0</v>
      </c>
      <c r="K49" s="101">
        <v>0</v>
      </c>
      <c r="L49" s="101">
        <v>0</v>
      </c>
      <c r="M49" s="101">
        <v>18</v>
      </c>
      <c r="N49" s="102">
        <v>0</v>
      </c>
      <c r="O49" s="66">
        <f t="shared" si="0"/>
        <v>2943.5099999999998</v>
      </c>
      <c r="R49" s="183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s="9" customFormat="1" ht="12.75">
      <c r="A50" s="196"/>
      <c r="B50" s="165" t="s">
        <v>23</v>
      </c>
      <c r="C50" s="100">
        <v>0</v>
      </c>
      <c r="D50" s="101">
        <v>0.15</v>
      </c>
      <c r="E50" s="101">
        <v>0.27</v>
      </c>
      <c r="F50" s="44">
        <v>0</v>
      </c>
      <c r="G50" s="44">
        <v>0</v>
      </c>
      <c r="H50" s="44">
        <v>0</v>
      </c>
      <c r="I50" s="44">
        <v>16.8</v>
      </c>
      <c r="J50" s="44">
        <v>0</v>
      </c>
      <c r="K50" s="101">
        <v>0</v>
      </c>
      <c r="L50" s="101">
        <v>0</v>
      </c>
      <c r="M50" s="101">
        <v>16</v>
      </c>
      <c r="N50" s="102">
        <v>11.04</v>
      </c>
      <c r="O50" s="66">
        <f t="shared" si="0"/>
        <v>44.26</v>
      </c>
      <c r="R50" s="183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9" s="9" customFormat="1" ht="12.75">
      <c r="A51" s="196"/>
      <c r="B51" s="165" t="s">
        <v>195</v>
      </c>
      <c r="C51" s="100">
        <v>0</v>
      </c>
      <c r="D51" s="101">
        <v>0</v>
      </c>
      <c r="E51" s="101">
        <v>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101">
        <v>0</v>
      </c>
      <c r="L51" s="101">
        <v>0</v>
      </c>
      <c r="M51" s="101">
        <v>0</v>
      </c>
      <c r="N51" s="102">
        <v>0</v>
      </c>
      <c r="O51" s="66">
        <f t="shared" si="0"/>
        <v>0</v>
      </c>
      <c r="R51" s="178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</row>
    <row r="52" spans="1:39" s="9" customFormat="1" ht="12.75">
      <c r="A52" s="196"/>
      <c r="B52" s="165" t="s">
        <v>48</v>
      </c>
      <c r="C52" s="100">
        <f>1.981+0.18+1+55.96+140.5+39+23</f>
        <v>261.621</v>
      </c>
      <c r="D52" s="101">
        <f>0.264+1.409+0.12+16.5+60+131.1+19.5+4.92+14.5</f>
        <v>248.313</v>
      </c>
      <c r="E52" s="101">
        <f>0.12+2+6.34+40+56+164+77.24+68+80</f>
        <v>493.70000000000005</v>
      </c>
      <c r="F52" s="44">
        <f>2.45+23.5+41.18+37.5+40+38.99</f>
        <v>183.62</v>
      </c>
      <c r="G52" s="44">
        <f>60.3+23+288.7+19.98</f>
        <v>391.98</v>
      </c>
      <c r="H52" s="44">
        <f>39+46+180.4+40</f>
        <v>305.4</v>
      </c>
      <c r="I52" s="44">
        <f>39.79+61+42.54+180.7</f>
        <v>324.03</v>
      </c>
      <c r="J52" s="44">
        <f>174+44+100.5+30.66+43</f>
        <v>392.16</v>
      </c>
      <c r="K52" s="101">
        <f>199.5+41.37+34.87+33+42.1+205.8+40+18+2</f>
        <v>616.6400000000001</v>
      </c>
      <c r="L52" s="101">
        <f>132.9+22.32+24.25+1+4+20</f>
        <v>204.47</v>
      </c>
      <c r="M52" s="101">
        <f>201.7+40+54.25+14.9+80+31.2+20</f>
        <v>442.04999999999995</v>
      </c>
      <c r="N52" s="102">
        <f>2.198+20+0.32+47.4+66+25.99+402.9+2+0.78</f>
        <v>567.588</v>
      </c>
      <c r="O52" s="66">
        <f t="shared" si="0"/>
        <v>4431.571999999999</v>
      </c>
      <c r="R52" s="183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</row>
    <row r="53" spans="1:39" s="9" customFormat="1" ht="12.75">
      <c r="A53" s="196"/>
      <c r="B53" s="165" t="s">
        <v>227</v>
      </c>
      <c r="C53" s="100">
        <v>8030</v>
      </c>
      <c r="D53" s="101">
        <v>8726.19</v>
      </c>
      <c r="E53" s="101">
        <v>6300</v>
      </c>
      <c r="F53" s="44">
        <v>3300</v>
      </c>
      <c r="G53" s="44">
        <v>0</v>
      </c>
      <c r="H53" s="44">
        <v>7552.7</v>
      </c>
      <c r="I53" s="44">
        <v>2496</v>
      </c>
      <c r="J53" s="44">
        <v>0</v>
      </c>
      <c r="K53" s="101">
        <v>0</v>
      </c>
      <c r="L53" s="101">
        <v>0</v>
      </c>
      <c r="M53" s="101">
        <v>0</v>
      </c>
      <c r="N53" s="102">
        <v>0</v>
      </c>
      <c r="O53" s="66">
        <f t="shared" si="0"/>
        <v>36404.89</v>
      </c>
      <c r="R53" s="183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</row>
    <row r="54" spans="1:39" s="9" customFormat="1" ht="12.75">
      <c r="A54" s="196"/>
      <c r="B54" s="165" t="s">
        <v>49</v>
      </c>
      <c r="C54" s="100">
        <v>0</v>
      </c>
      <c r="D54" s="101">
        <f>43+21.28</f>
        <v>64.28</v>
      </c>
      <c r="E54" s="101">
        <v>92</v>
      </c>
      <c r="F54" s="44">
        <v>0</v>
      </c>
      <c r="G54" s="44">
        <v>42.77</v>
      </c>
      <c r="H54" s="44">
        <v>0</v>
      </c>
      <c r="I54" s="44">
        <v>43</v>
      </c>
      <c r="J54" s="44">
        <v>0</v>
      </c>
      <c r="K54" s="101">
        <f>115+42.04</f>
        <v>157.04</v>
      </c>
      <c r="L54" s="101">
        <f>161+10+21+34.212</f>
        <v>226.212</v>
      </c>
      <c r="M54" s="101">
        <v>15.004</v>
      </c>
      <c r="N54" s="102">
        <v>92</v>
      </c>
      <c r="O54" s="66">
        <f t="shared" si="0"/>
        <v>732.306</v>
      </c>
      <c r="R54" s="183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</row>
    <row r="55" spans="1:39" s="9" customFormat="1" ht="12.75">
      <c r="A55" s="196"/>
      <c r="B55" s="167" t="s">
        <v>222</v>
      </c>
      <c r="C55" s="100">
        <v>25</v>
      </c>
      <c r="D55" s="101">
        <f>87+34+35+82</f>
        <v>238</v>
      </c>
      <c r="E55" s="101">
        <v>0</v>
      </c>
      <c r="F55" s="44">
        <v>39</v>
      </c>
      <c r="G55" s="44">
        <f>2.25+75</f>
        <v>77.25</v>
      </c>
      <c r="H55" s="44">
        <f>44.59+35</f>
        <v>79.59</v>
      </c>
      <c r="I55" s="44">
        <f>77+102+70</f>
        <v>249</v>
      </c>
      <c r="J55" s="44">
        <f>4+81</f>
        <v>85</v>
      </c>
      <c r="K55" s="101">
        <v>60</v>
      </c>
      <c r="L55" s="101">
        <v>1</v>
      </c>
      <c r="M55" s="101">
        <v>0</v>
      </c>
      <c r="N55" s="102">
        <f>35+40+40</f>
        <v>115</v>
      </c>
      <c r="O55" s="66">
        <f t="shared" si="0"/>
        <v>968.84</v>
      </c>
      <c r="R55" s="183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</row>
    <row r="56" spans="1:39" s="9" customFormat="1" ht="12.75">
      <c r="A56" s="196"/>
      <c r="B56" s="165" t="s">
        <v>105</v>
      </c>
      <c r="C56" s="100">
        <f>2162+25+14</f>
        <v>2201</v>
      </c>
      <c r="D56" s="101">
        <f>233.4+0.3+6+10000+309.6+2.4</f>
        <v>10551.7</v>
      </c>
      <c r="E56" s="101">
        <f>1750+20+30+19.5+0.191+402</f>
        <v>2221.691</v>
      </c>
      <c r="F56" s="44">
        <f>628+65+3+26.3</f>
        <v>722.3</v>
      </c>
      <c r="G56" s="44">
        <f>239+139+137+13.8+19.3+100+0.9+0.15</f>
        <v>649.1499999999999</v>
      </c>
      <c r="H56" s="44">
        <f>536+30+31.4+0.3+15</f>
        <v>612.6999999999999</v>
      </c>
      <c r="I56" s="44">
        <f>528+1+1.8</f>
        <v>530.8</v>
      </c>
      <c r="J56" s="44">
        <f>368+279+2.4</f>
        <v>649.4</v>
      </c>
      <c r="K56" s="101">
        <f>460+111+578250+16+2.1</f>
        <v>578839.1</v>
      </c>
      <c r="L56" s="101">
        <f>60+94+588000+100+1.5</f>
        <v>588255.5</v>
      </c>
      <c r="M56" s="101">
        <f>25+1002+145.82+8+20+0.3+10.6+2.938</f>
        <v>1214.658</v>
      </c>
      <c r="N56" s="102">
        <f>14.7+1671+61+5.7+0.28+186+4+9.8</f>
        <v>1952.48</v>
      </c>
      <c r="O56" s="66">
        <f t="shared" si="0"/>
        <v>1188400.479</v>
      </c>
      <c r="R56" s="183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</row>
    <row r="57" spans="1:39" s="9" customFormat="1" ht="12.75">
      <c r="A57" s="196"/>
      <c r="B57" s="165" t="s">
        <v>106</v>
      </c>
      <c r="C57" s="100">
        <f>8.1+9+42.4+7.5+11+0.5+23+1.2+25.5+1.7+30.8+159.9+29.87+75.85+110.6+9.9+146.5+15.23+37.54+500+3800+750+4500+0.05+33.23+80+5.8+8+60+6+500+4+3.96+21.27+0.3+6.08+0.5+13.16+95</f>
        <v>11133.439999999997</v>
      </c>
      <c r="D57" s="101">
        <f>52.9+7.3+2+16.5+9.5+2.5+0.7+73.92+49.16+215.5+7.8+20.51+78.8+225+4300+1150+3625+33+107+5.76+0.812+24+600+0.576+2.44+0.768+19.8+11.8+1+1.765+71.25+4.65</f>
        <v>10721.710999999998</v>
      </c>
      <c r="E57" s="101">
        <f>20.15+32+1+147.9+1.5+130.8+164+19+31.648+1600+750+10900+3.835+49+43+66+3.84+1.488+1.49+2+285+0.5+0.99</f>
        <v>14255.140999999998</v>
      </c>
      <c r="F57" s="101">
        <f>20.3+3.5+25.6+8.8+8.1+51.4+18+60+2+91.5+33+2.4+950+2600+650+7000+16+264.5+9.7+3.8+1.5+1.46+175+8.592+84.848+0.414+951+2.285+4.512+6.1</f>
        <v>13054.311000000002</v>
      </c>
      <c r="G57" s="44">
        <f>76+92.42+119.1+7.47+42.87+70+14+5.5+1+23.48+0.583+40.19+0.5+1+19.5+13.71+2.53+18.4+0.56+10.45+3.5+1</f>
        <v>563.763</v>
      </c>
      <c r="H57" s="44">
        <f>100+38.38+255+4.576+4.8+1.14+1.68+1.1+37.91+36+2.567+31.22+2.88+28.5+11.59+18.96+1.48+6.48</f>
        <v>584.2630000000001</v>
      </c>
      <c r="I57" s="44">
        <f>126+3.05+24.68+25+5.39+0.2+0.78+94+1+0.5+1+1.35+48+8.4+1200+0.69+279.9+35+148.5+66.94+16.16+2.4+77.25+0.7+0.2+27.93+21.37+0.485+3+0.3+5.47</f>
        <v>2225.6449999999995</v>
      </c>
      <c r="J57" s="44">
        <f>200+117.3+1+20+4+7+14+2+25+3+10.5+7+12+5+7+2100+98+117+29.5+487.7+1.048+8.2+0.276+10.8+1.5+0.92+6.1+5+19.08</f>
        <v>3319.9239999999995</v>
      </c>
      <c r="K57" s="101">
        <f>24+41+10+9+123+2+1+1+10+19+41+2+15+266+70+113+127.5+2.166+6.24+21.4+4.037+4.64+1.91+0.49+2+51+0.528+0.2</f>
        <v>969.1110000000001</v>
      </c>
      <c r="L57" s="101">
        <f>52+9+43+13+9+25+8+50+0.39+1.35+6+911+34+45+10.3+2500+6000+2000+39+309.3+228.7+5.76+29.4+86+0.975+3.8+1.7+90+15.59+1+140</f>
        <v>12668.265000000001</v>
      </c>
      <c r="M57" s="101">
        <f>14+7+342+60+1.425+4+9+26.4+0.29+24+1148+199+67+47.9+300+3500+5050+25+10.68+215.5+2.5+0.99+1.49+12.65+6.7+1+10+1.52+2+4.1+2.45+1.5+0.5+4.5</f>
        <v>11103.095000000001</v>
      </c>
      <c r="N57" s="102">
        <f>5+52.3+2+473+26.73+6+8+9.88+50.62+25+511+14+130+65.6+500+10050+14600+500+1200+4200+15+13+4.8+73+1.8+7+0.33+6.795+3+2.19+1.05+3.3+33.96+1.84+5.5</f>
        <v>32601.694999999992</v>
      </c>
      <c r="O57" s="66">
        <f t="shared" si="0"/>
        <v>113200.36399999999</v>
      </c>
      <c r="R57" s="183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1:39" s="9" customFormat="1" ht="13.5" thickBot="1">
      <c r="A58" s="199"/>
      <c r="B58" s="171" t="s">
        <v>50</v>
      </c>
      <c r="C58" s="130">
        <v>2960</v>
      </c>
      <c r="D58" s="128">
        <v>0</v>
      </c>
      <c r="E58" s="128">
        <v>1000</v>
      </c>
      <c r="F58" s="128">
        <v>0</v>
      </c>
      <c r="G58" s="108">
        <v>1100</v>
      </c>
      <c r="H58" s="108">
        <v>0</v>
      </c>
      <c r="I58" s="108">
        <v>0</v>
      </c>
      <c r="J58" s="108">
        <v>0</v>
      </c>
      <c r="K58" s="128">
        <v>0</v>
      </c>
      <c r="L58" s="128">
        <v>0</v>
      </c>
      <c r="M58" s="128">
        <v>0</v>
      </c>
      <c r="N58" s="172">
        <v>0</v>
      </c>
      <c r="O58" s="67">
        <f t="shared" si="0"/>
        <v>5060</v>
      </c>
      <c r="R58" s="182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1:18" ht="18.75">
      <c r="A59" s="6" t="s">
        <v>74</v>
      </c>
      <c r="P59" s="6"/>
      <c r="R59" s="183"/>
    </row>
    <row r="60" spans="1:18" ht="12.75">
      <c r="A60" s="5" t="s">
        <v>148</v>
      </c>
      <c r="P60" s="8"/>
      <c r="R60" s="183"/>
    </row>
    <row r="61" spans="1:18" ht="9.75" customHeight="1">
      <c r="A61" s="13" t="s">
        <v>76</v>
      </c>
      <c r="B61" s="10"/>
      <c r="R61" s="183"/>
    </row>
    <row r="62" spans="1:18" ht="9.75" customHeight="1" thickBot="1">
      <c r="A62" s="169"/>
      <c r="B62" s="10"/>
      <c r="R62" s="182"/>
    </row>
    <row r="63" spans="1:18" ht="15" customHeight="1" thickBot="1">
      <c r="A63" s="169"/>
      <c r="B63" s="10"/>
      <c r="C63" s="185">
        <v>2007</v>
      </c>
      <c r="D63" s="186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7"/>
      <c r="R63" s="182"/>
    </row>
    <row r="64" spans="1:18" ht="48" thickBot="1">
      <c r="A64" s="169"/>
      <c r="B64" s="10"/>
      <c r="C64" s="60" t="s">
        <v>77</v>
      </c>
      <c r="D64" s="68" t="s">
        <v>78</v>
      </c>
      <c r="E64" s="68" t="s">
        <v>79</v>
      </c>
      <c r="F64" s="68" t="s">
        <v>80</v>
      </c>
      <c r="G64" s="68" t="s">
        <v>81</v>
      </c>
      <c r="H64" s="68" t="s">
        <v>82</v>
      </c>
      <c r="I64" s="68" t="s">
        <v>83</v>
      </c>
      <c r="J64" s="68" t="s">
        <v>84</v>
      </c>
      <c r="K64" s="68" t="s">
        <v>85</v>
      </c>
      <c r="L64" s="68" t="s">
        <v>86</v>
      </c>
      <c r="M64" s="68" t="s">
        <v>87</v>
      </c>
      <c r="N64" s="54" t="s">
        <v>88</v>
      </c>
      <c r="O64" s="111" t="s">
        <v>89</v>
      </c>
      <c r="R64" s="183"/>
    </row>
    <row r="65" spans="1:39" s="9" customFormat="1" ht="12.75" customHeight="1">
      <c r="A65" s="195" t="s">
        <v>35</v>
      </c>
      <c r="B65" s="164" t="s">
        <v>51</v>
      </c>
      <c r="C65" s="129">
        <v>0</v>
      </c>
      <c r="D65" s="127">
        <f>1.485+3.366</f>
        <v>4.851</v>
      </c>
      <c r="E65" s="127">
        <f>0.524+9.533</f>
        <v>10.056999999999999</v>
      </c>
      <c r="F65" s="127">
        <v>0.022</v>
      </c>
      <c r="G65" s="40">
        <v>3.785</v>
      </c>
      <c r="H65" s="40">
        <v>0</v>
      </c>
      <c r="I65" s="40">
        <v>0</v>
      </c>
      <c r="J65" s="40">
        <v>0</v>
      </c>
      <c r="K65" s="127">
        <v>0</v>
      </c>
      <c r="L65" s="127">
        <v>0</v>
      </c>
      <c r="M65" s="127">
        <v>0</v>
      </c>
      <c r="N65" s="170">
        <v>2</v>
      </c>
      <c r="O65" s="125">
        <f t="shared" si="0"/>
        <v>20.714999999999996</v>
      </c>
      <c r="R65" s="183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</row>
    <row r="66" spans="1:39" s="9" customFormat="1" ht="12.75">
      <c r="A66" s="196"/>
      <c r="B66" s="165" t="s">
        <v>24</v>
      </c>
      <c r="C66" s="100">
        <v>0</v>
      </c>
      <c r="D66" s="101">
        <f>0.05+0.044+1.5</f>
        <v>1.594</v>
      </c>
      <c r="E66" s="101">
        <f>0.025+1+0.3</f>
        <v>1.325</v>
      </c>
      <c r="F66" s="101">
        <v>0.025</v>
      </c>
      <c r="G66" s="44">
        <v>0</v>
      </c>
      <c r="H66" s="44">
        <v>0</v>
      </c>
      <c r="I66" s="44">
        <f>0.515</f>
        <v>0.515</v>
      </c>
      <c r="J66" s="44">
        <v>0.515</v>
      </c>
      <c r="K66" s="101">
        <v>0</v>
      </c>
      <c r="L66" s="101">
        <v>0.3</v>
      </c>
      <c r="M66" s="101">
        <f>0.011+1.89</f>
        <v>1.9009999999999998</v>
      </c>
      <c r="N66" s="102">
        <v>0</v>
      </c>
      <c r="O66" s="66">
        <f t="shared" si="0"/>
        <v>6.175</v>
      </c>
      <c r="R66" s="183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</row>
    <row r="67" spans="1:39" s="9" customFormat="1" ht="12.75">
      <c r="A67" s="196"/>
      <c r="B67" s="163" t="s">
        <v>4</v>
      </c>
      <c r="C67" s="100">
        <f>16+50+36+17+12.5+24.1+264+17+0.09+327+982+108.5+17+139.08+27+143</f>
        <v>2180.27</v>
      </c>
      <c r="D67" s="101">
        <f>91.1+396+116+149+115+68+51+0.035+1.92+0.327+15+863+72+193.8+20+112+33+132+15+6+0.434</f>
        <v>2450.6160000000004</v>
      </c>
      <c r="E67" s="101">
        <f>612+96+37+4+27+49+16+0.239+0.24+230+558+53+51+39.9+71+254+0.29+16</f>
        <v>2114.669</v>
      </c>
      <c r="F67" s="101">
        <f>105+122+72+157+27.5+26+21+0.285+0.255+94+851+9+6+12</f>
        <v>1503.04</v>
      </c>
      <c r="G67" s="44">
        <f>362+38+57.8+0.05+16+46+1054+0.24+99+57+2+34+18+122+50</f>
        <v>1956.09</v>
      </c>
      <c r="H67" s="44">
        <f>213+44+12.5+194.4+138.5+0.3+849+13+164+633+12+18+0.025</f>
        <v>2291.725</v>
      </c>
      <c r="I67" s="44">
        <f>224+12+33+4.8+75+38.6+433.3+18+1+58+17+0.06+497+50+50+16+281+37</f>
        <v>1845.76</v>
      </c>
      <c r="J67" s="44">
        <f>143+50+20+96+75+403+69+0.018+26+195+60+1+259+22</f>
        <v>1419.018</v>
      </c>
      <c r="K67" s="101">
        <f>40+343+0.197+75+575+45+2.102+10+0.045+0.311+183+14+17+150</f>
        <v>1454.6550000000002</v>
      </c>
      <c r="L67" s="101">
        <f>18+1+261+0.442+26+125+24+31+16+53+32+291+52+100+2</f>
        <v>1032.442</v>
      </c>
      <c r="M67" s="101">
        <f>46+170+25+53.8+27+0.8+5+380+98+62.5+34.1</f>
        <v>902.2</v>
      </c>
      <c r="N67" s="102">
        <f>94+53+366+1+191+100+28+24+0.09+25+16+64+68+286+598+142</f>
        <v>2056.09</v>
      </c>
      <c r="O67" s="66">
        <f t="shared" si="0"/>
        <v>21206.575</v>
      </c>
      <c r="R67" s="183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</row>
    <row r="68" spans="1:39" s="9" customFormat="1" ht="12.75">
      <c r="A68" s="196"/>
      <c r="B68" s="163" t="s">
        <v>52</v>
      </c>
      <c r="C68" s="100">
        <v>0</v>
      </c>
      <c r="D68" s="101">
        <v>10.8</v>
      </c>
      <c r="E68" s="101">
        <v>0.385</v>
      </c>
      <c r="F68" s="101">
        <v>0</v>
      </c>
      <c r="G68" s="44">
        <v>11.44</v>
      </c>
      <c r="H68" s="44">
        <v>0</v>
      </c>
      <c r="I68" s="44">
        <v>0</v>
      </c>
      <c r="J68" s="44">
        <v>0</v>
      </c>
      <c r="K68" s="101">
        <v>0</v>
      </c>
      <c r="L68" s="101">
        <v>0</v>
      </c>
      <c r="M68" s="101">
        <v>0</v>
      </c>
      <c r="N68" s="102">
        <v>0</v>
      </c>
      <c r="O68" s="66">
        <f t="shared" si="0"/>
        <v>22.625</v>
      </c>
      <c r="R68" s="183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</row>
    <row r="69" spans="1:39" s="9" customFormat="1" ht="12.75">
      <c r="A69" s="196"/>
      <c r="B69" s="163" t="s">
        <v>53</v>
      </c>
      <c r="C69" s="100">
        <v>0</v>
      </c>
      <c r="D69" s="101">
        <v>0</v>
      </c>
      <c r="E69" s="101">
        <v>20.04</v>
      </c>
      <c r="F69" s="101">
        <v>0</v>
      </c>
      <c r="G69" s="44">
        <v>0</v>
      </c>
      <c r="H69" s="44">
        <v>0</v>
      </c>
      <c r="I69" s="44">
        <v>0</v>
      </c>
      <c r="J69" s="44">
        <v>0</v>
      </c>
      <c r="K69" s="101">
        <v>0</v>
      </c>
      <c r="L69" s="101">
        <v>0</v>
      </c>
      <c r="M69" s="101">
        <v>0</v>
      </c>
      <c r="N69" s="102">
        <v>0</v>
      </c>
      <c r="O69" s="66">
        <f t="shared" si="0"/>
        <v>20.04</v>
      </c>
      <c r="R69" s="182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</row>
    <row r="70" spans="1:39" s="9" customFormat="1" ht="12.75">
      <c r="A70" s="196"/>
      <c r="B70" s="163" t="s">
        <v>94</v>
      </c>
      <c r="C70" s="100">
        <f>2.789+129056+146+0.508+57.6+1.5+1.5+4+4.142+6.995+47.628+3.75</f>
        <v>129332.41200000001</v>
      </c>
      <c r="D70" s="101">
        <f>33.504+342.52+9.362+0.555+0.617+196.9+0.586+0.24+1.2+15.17+11.22+5.561+1.05+0.75+2.475+1.48+0.75+0.75+21.06</f>
        <v>645.7500000000001</v>
      </c>
      <c r="E70" s="101">
        <f>422.11+4.987+0.371+14+0.6+7.9+8.26+18.126+4</f>
        <v>480.354</v>
      </c>
      <c r="F70" s="101">
        <f>38.422+166.7+3.37+108.98+1.301+0.1+0.11+1.875+2.48+6.08+61.952</f>
        <v>391.37</v>
      </c>
      <c r="G70" s="44">
        <f>255.5+58.5+13.81+0.447+48+31.75+29.85+21.5</f>
        <v>459.357</v>
      </c>
      <c r="H70" s="44">
        <f>216.41+16.08+16.682+57+190.72+0.263+1.8+1.93+3.2+1.572+2+0.2+0.48+10.17+20</f>
        <v>538.5070000000001</v>
      </c>
      <c r="I70" s="44">
        <f>42+174+525.4+6.717+1+20+14.18+16</f>
        <v>799.2969999999999</v>
      </c>
      <c r="J70" s="44">
        <f>2.3+3.625+0.276+2+0.8+1052+17.09+0.49+1.495+7.446+0.3+61.75+18.58</f>
        <v>1168.1519999999996</v>
      </c>
      <c r="K70" s="101">
        <f>146.6+112.5+0.58+0.96+491.71+3.4+51.752+0.215+0.514</f>
        <v>808.2309999999999</v>
      </c>
      <c r="L70" s="101">
        <f>439.6+264.2+5+1+305.2+0.155+11+1.04+17.48+11.27+1.08+1.9</f>
        <v>1058.925</v>
      </c>
      <c r="M70" s="101">
        <f>35+0.24+249.15+30.608+21.5</f>
        <v>336.498</v>
      </c>
      <c r="N70" s="102">
        <f>0.915+28.9+2.934+0.317+0.216</f>
        <v>33.282</v>
      </c>
      <c r="O70" s="66">
        <f t="shared" si="0"/>
        <v>136052.135</v>
      </c>
      <c r="R70" s="183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</row>
    <row r="71" spans="1:39" s="9" customFormat="1" ht="12.75">
      <c r="A71" s="196"/>
      <c r="B71" s="163" t="s">
        <v>97</v>
      </c>
      <c r="C71" s="100">
        <v>43.1</v>
      </c>
      <c r="D71" s="101">
        <v>114</v>
      </c>
      <c r="E71" s="101">
        <f>120.53+1.496</f>
        <v>122.026</v>
      </c>
      <c r="F71" s="101">
        <v>121</v>
      </c>
      <c r="G71" s="44">
        <v>100.6</v>
      </c>
      <c r="H71" s="44">
        <f>147+0.085+0.26</f>
        <v>147.345</v>
      </c>
      <c r="I71" s="44">
        <v>189</v>
      </c>
      <c r="J71" s="44">
        <f>68+1.7+2.957</f>
        <v>72.657</v>
      </c>
      <c r="K71" s="101">
        <v>28.49</v>
      </c>
      <c r="L71" s="101">
        <v>46.01</v>
      </c>
      <c r="M71" s="101">
        <v>125.5</v>
      </c>
      <c r="N71" s="102">
        <v>152.6</v>
      </c>
      <c r="O71" s="66">
        <f t="shared" si="0"/>
        <v>1262.328</v>
      </c>
      <c r="R71" s="183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</row>
    <row r="72" spans="1:39" s="9" customFormat="1" ht="12.75">
      <c r="A72" s="196"/>
      <c r="B72" s="163" t="s">
        <v>95</v>
      </c>
      <c r="C72" s="100">
        <v>0</v>
      </c>
      <c r="D72" s="101">
        <v>12.544</v>
      </c>
      <c r="E72" s="101">
        <v>0</v>
      </c>
      <c r="F72" s="101">
        <v>0</v>
      </c>
      <c r="G72" s="44">
        <v>0</v>
      </c>
      <c r="H72" s="44">
        <v>0</v>
      </c>
      <c r="I72" s="44">
        <v>0</v>
      </c>
      <c r="J72" s="44">
        <v>0</v>
      </c>
      <c r="K72" s="101">
        <v>0</v>
      </c>
      <c r="L72" s="101">
        <v>0</v>
      </c>
      <c r="M72" s="101">
        <v>0</v>
      </c>
      <c r="N72" s="102">
        <v>0</v>
      </c>
      <c r="O72" s="66">
        <f t="shared" si="0"/>
        <v>12.544</v>
      </c>
      <c r="R72" s="178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</row>
    <row r="73" spans="1:39" s="9" customFormat="1" ht="12.75">
      <c r="A73" s="196"/>
      <c r="B73" s="163" t="s">
        <v>54</v>
      </c>
      <c r="C73" s="100">
        <v>6</v>
      </c>
      <c r="D73" s="101">
        <v>46</v>
      </c>
      <c r="E73" s="101">
        <f>47+27</f>
        <v>74</v>
      </c>
      <c r="F73" s="101">
        <v>0</v>
      </c>
      <c r="G73" s="44">
        <v>96</v>
      </c>
      <c r="H73" s="44">
        <v>156</v>
      </c>
      <c r="I73" s="44">
        <v>90</v>
      </c>
      <c r="J73" s="44">
        <f>225+27.3</f>
        <v>252.3</v>
      </c>
      <c r="K73" s="101">
        <f>46+8.76</f>
        <v>54.76</v>
      </c>
      <c r="L73" s="101">
        <f>69+96</f>
        <v>165</v>
      </c>
      <c r="M73" s="101">
        <v>2</v>
      </c>
      <c r="N73" s="102">
        <v>0.007</v>
      </c>
      <c r="O73" s="66">
        <f t="shared" si="0"/>
        <v>942.0669999999999</v>
      </c>
      <c r="R73" s="183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</row>
    <row r="74" spans="1:39" s="9" customFormat="1" ht="12.75">
      <c r="A74" s="196"/>
      <c r="B74" s="163" t="s">
        <v>91</v>
      </c>
      <c r="C74" s="100">
        <f>13+18+68.3+63</f>
        <v>162.3</v>
      </c>
      <c r="D74" s="101">
        <f>24.8+49+106.2</f>
        <v>180</v>
      </c>
      <c r="E74" s="101">
        <f>0.125+12+23+74</f>
        <v>109.125</v>
      </c>
      <c r="F74" s="101">
        <f>2.7+17.3+100+152+25</f>
        <v>297</v>
      </c>
      <c r="G74" s="44">
        <f>9.2+49.7+11.5+59</f>
        <v>129.4</v>
      </c>
      <c r="H74" s="44">
        <f>97.7+89</f>
        <v>186.7</v>
      </c>
      <c r="I74" s="44">
        <f>73.9+92</f>
        <v>165.9</v>
      </c>
      <c r="J74" s="44">
        <f>218+196</f>
        <v>414</v>
      </c>
      <c r="K74" s="101">
        <v>77</v>
      </c>
      <c r="L74" s="101">
        <f>100.5+52.8+12</f>
        <v>165.3</v>
      </c>
      <c r="M74" s="101">
        <f>65+109</f>
        <v>174</v>
      </c>
      <c r="N74" s="102">
        <f>0.135+24+12+40</f>
        <v>76.135</v>
      </c>
      <c r="O74" s="66">
        <f t="shared" si="0"/>
        <v>2136.86</v>
      </c>
      <c r="R74" s="183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</row>
    <row r="75" spans="1:39" s="9" customFormat="1" ht="12.75">
      <c r="A75" s="196"/>
      <c r="B75" s="163" t="s">
        <v>55</v>
      </c>
      <c r="C75" s="100">
        <v>0</v>
      </c>
      <c r="D75" s="101">
        <v>0</v>
      </c>
      <c r="E75" s="101">
        <v>0</v>
      </c>
      <c r="F75" s="101">
        <v>0</v>
      </c>
      <c r="G75" s="44">
        <v>0</v>
      </c>
      <c r="H75" s="44">
        <v>0</v>
      </c>
      <c r="I75" s="44">
        <v>0</v>
      </c>
      <c r="J75" s="44">
        <v>0</v>
      </c>
      <c r="K75" s="101">
        <f>8.245+6.63</f>
        <v>14.875</v>
      </c>
      <c r="L75" s="101">
        <v>0</v>
      </c>
      <c r="M75" s="101">
        <v>0</v>
      </c>
      <c r="N75" s="102">
        <v>0</v>
      </c>
      <c r="O75" s="66">
        <f t="shared" si="0"/>
        <v>14.875</v>
      </c>
      <c r="R75" s="183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</row>
    <row r="76" spans="1:39" s="9" customFormat="1" ht="12.75">
      <c r="A76" s="196"/>
      <c r="B76" s="163" t="s">
        <v>56</v>
      </c>
      <c r="C76" s="100">
        <v>42.22</v>
      </c>
      <c r="D76" s="101">
        <v>28.148</v>
      </c>
      <c r="E76" s="101">
        <v>44.933</v>
      </c>
      <c r="F76" s="101">
        <f>14.07+11.123</f>
        <v>25.192999999999998</v>
      </c>
      <c r="G76" s="44">
        <f>14.07+10.48</f>
        <v>24.55</v>
      </c>
      <c r="H76" s="44">
        <f>8.5+6.952+26</f>
        <v>41.452</v>
      </c>
      <c r="I76" s="44">
        <f>28.148+0.301</f>
        <v>28.448999999999998</v>
      </c>
      <c r="J76" s="44">
        <f>28.15+26</f>
        <v>54.15</v>
      </c>
      <c r="K76" s="101">
        <v>0</v>
      </c>
      <c r="L76" s="101">
        <v>0</v>
      </c>
      <c r="M76" s="101">
        <v>16.39</v>
      </c>
      <c r="N76" s="102">
        <v>14.07</v>
      </c>
      <c r="O76" s="66">
        <f t="shared" si="0"/>
        <v>319.55499999999995</v>
      </c>
      <c r="R76" s="183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</row>
    <row r="77" spans="1:39" s="9" customFormat="1" ht="12.75">
      <c r="A77" s="196"/>
      <c r="B77" s="163" t="s">
        <v>98</v>
      </c>
      <c r="C77" s="100">
        <v>0</v>
      </c>
      <c r="D77" s="101">
        <v>13.44</v>
      </c>
      <c r="E77" s="101">
        <v>0</v>
      </c>
      <c r="F77" s="101">
        <v>13.44</v>
      </c>
      <c r="G77" s="44">
        <v>0</v>
      </c>
      <c r="H77" s="44">
        <v>0</v>
      </c>
      <c r="I77" s="44">
        <v>0</v>
      </c>
      <c r="J77" s="44">
        <v>0</v>
      </c>
      <c r="K77" s="101">
        <v>28.5</v>
      </c>
      <c r="L77" s="101">
        <v>0</v>
      </c>
      <c r="M77" s="101">
        <v>0</v>
      </c>
      <c r="N77" s="102">
        <v>0</v>
      </c>
      <c r="O77" s="66">
        <f t="shared" si="0"/>
        <v>55.379999999999995</v>
      </c>
      <c r="R77" s="183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</row>
    <row r="78" spans="1:39" s="9" customFormat="1" ht="12.75">
      <c r="A78" s="196"/>
      <c r="B78" s="163" t="s">
        <v>57</v>
      </c>
      <c r="C78" s="100">
        <v>235</v>
      </c>
      <c r="D78" s="101">
        <v>0</v>
      </c>
      <c r="E78" s="101">
        <v>239.88</v>
      </c>
      <c r="F78" s="101">
        <v>0</v>
      </c>
      <c r="G78" s="44">
        <v>0</v>
      </c>
      <c r="H78" s="44">
        <v>0</v>
      </c>
      <c r="I78" s="44">
        <v>0</v>
      </c>
      <c r="J78" s="44">
        <v>0</v>
      </c>
      <c r="K78" s="101">
        <v>0</v>
      </c>
      <c r="L78" s="101">
        <v>0</v>
      </c>
      <c r="M78" s="101">
        <v>0</v>
      </c>
      <c r="N78" s="102">
        <v>0</v>
      </c>
      <c r="O78" s="66">
        <f aca="true" t="shared" si="1" ref="O78:O111">SUM(C78:N78)</f>
        <v>474.88</v>
      </c>
      <c r="R78" s="183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</row>
    <row r="79" spans="1:39" s="9" customFormat="1" ht="12.75">
      <c r="A79" s="196"/>
      <c r="B79" s="163" t="s">
        <v>58</v>
      </c>
      <c r="C79" s="100">
        <v>0.24</v>
      </c>
      <c r="D79" s="101">
        <v>0.289</v>
      </c>
      <c r="E79" s="101">
        <v>0.8</v>
      </c>
      <c r="F79" s="101">
        <v>0</v>
      </c>
      <c r="G79" s="44">
        <v>0</v>
      </c>
      <c r="H79" s="44">
        <v>0</v>
      </c>
      <c r="I79" s="44">
        <v>0</v>
      </c>
      <c r="J79" s="44">
        <v>0.852</v>
      </c>
      <c r="K79" s="101">
        <v>0.867</v>
      </c>
      <c r="L79" s="101">
        <f>0.282+0.31</f>
        <v>0.592</v>
      </c>
      <c r="M79" s="101">
        <v>0.163</v>
      </c>
      <c r="N79" s="102">
        <f>0.345+0.374</f>
        <v>0.719</v>
      </c>
      <c r="O79" s="66">
        <f t="shared" si="1"/>
        <v>4.522</v>
      </c>
      <c r="R79" s="183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</row>
    <row r="80" spans="1:39" s="9" customFormat="1" ht="12.75">
      <c r="A80" s="196"/>
      <c r="B80" s="163" t="s">
        <v>29</v>
      </c>
      <c r="C80" s="100">
        <v>0.314</v>
      </c>
      <c r="D80" s="101">
        <f>0.937+0.453+0.9</f>
        <v>2.29</v>
      </c>
      <c r="E80" s="101">
        <f>0.095+0.1</f>
        <v>0.195</v>
      </c>
      <c r="F80" s="101">
        <v>4</v>
      </c>
      <c r="G80" s="44">
        <v>2</v>
      </c>
      <c r="H80" s="44">
        <v>0.3</v>
      </c>
      <c r="I80" s="44">
        <v>1</v>
      </c>
      <c r="J80" s="44">
        <v>0</v>
      </c>
      <c r="K80" s="101">
        <v>0</v>
      </c>
      <c r="L80" s="101">
        <v>32</v>
      </c>
      <c r="M80" s="101">
        <v>0</v>
      </c>
      <c r="N80" s="102">
        <v>0</v>
      </c>
      <c r="O80" s="66">
        <f t="shared" si="1"/>
        <v>42.099000000000004</v>
      </c>
      <c r="R80" s="182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</row>
    <row r="81" spans="1:39" s="9" customFormat="1" ht="12.75">
      <c r="A81" s="196"/>
      <c r="B81" s="163" t="s">
        <v>228</v>
      </c>
      <c r="C81" s="100">
        <v>13.01</v>
      </c>
      <c r="D81" s="101">
        <v>13.525</v>
      </c>
      <c r="E81" s="101">
        <v>21.77</v>
      </c>
      <c r="F81" s="101">
        <v>90.362</v>
      </c>
      <c r="G81" s="44">
        <v>20.62</v>
      </c>
      <c r="H81" s="44">
        <v>0</v>
      </c>
      <c r="I81" s="44">
        <v>25.18</v>
      </c>
      <c r="J81" s="44">
        <v>0</v>
      </c>
      <c r="K81" s="101">
        <v>289.8</v>
      </c>
      <c r="L81" s="101">
        <v>158.9</v>
      </c>
      <c r="M81" s="101">
        <v>111.9</v>
      </c>
      <c r="N81" s="102">
        <v>0</v>
      </c>
      <c r="O81" s="66">
        <f t="shared" si="1"/>
        <v>745.067</v>
      </c>
      <c r="R81" s="183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</row>
    <row r="82" spans="1:39" s="9" customFormat="1" ht="12.75">
      <c r="A82" s="196"/>
      <c r="B82" s="163" t="s">
        <v>25</v>
      </c>
      <c r="C82" s="100">
        <v>27.23</v>
      </c>
      <c r="D82" s="101">
        <v>20.167</v>
      </c>
      <c r="E82" s="101">
        <v>0</v>
      </c>
      <c r="F82" s="101">
        <v>45.17</v>
      </c>
      <c r="G82" s="44">
        <v>7.52</v>
      </c>
      <c r="H82" s="44">
        <v>0</v>
      </c>
      <c r="I82" s="44">
        <v>0</v>
      </c>
      <c r="J82" s="44">
        <v>0</v>
      </c>
      <c r="K82" s="101">
        <v>0</v>
      </c>
      <c r="L82" s="101">
        <v>0</v>
      </c>
      <c r="M82" s="101">
        <v>0</v>
      </c>
      <c r="N82" s="102">
        <v>0</v>
      </c>
      <c r="O82" s="66">
        <f t="shared" si="1"/>
        <v>100.087</v>
      </c>
      <c r="R82" s="178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</row>
    <row r="83" spans="1:39" s="9" customFormat="1" ht="12.75">
      <c r="A83" s="196"/>
      <c r="B83" s="163" t="s">
        <v>102</v>
      </c>
      <c r="C83" s="100">
        <v>46.901</v>
      </c>
      <c r="D83" s="101">
        <v>127.374</v>
      </c>
      <c r="E83" s="101">
        <v>136.19</v>
      </c>
      <c r="F83" s="101">
        <v>27.848</v>
      </c>
      <c r="G83" s="44">
        <v>120.7</v>
      </c>
      <c r="H83" s="44">
        <f>34.02+11.586+12</f>
        <v>57.606</v>
      </c>
      <c r="I83" s="44">
        <v>71.186</v>
      </c>
      <c r="J83" s="44">
        <v>85.29</v>
      </c>
      <c r="K83" s="101">
        <v>29.95</v>
      </c>
      <c r="L83" s="101">
        <v>336.06</v>
      </c>
      <c r="M83" s="101">
        <f>170.488</f>
        <v>170.488</v>
      </c>
      <c r="N83" s="102">
        <v>107.4</v>
      </c>
      <c r="O83" s="66">
        <f t="shared" si="1"/>
        <v>1316.9930000000002</v>
      </c>
      <c r="R83" s="178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</row>
    <row r="84" spans="1:39" s="9" customFormat="1" ht="12.75">
      <c r="A84" s="196"/>
      <c r="B84" s="163" t="s">
        <v>93</v>
      </c>
      <c r="C84" s="100">
        <f>1.198+0.394</f>
        <v>1.592</v>
      </c>
      <c r="D84" s="101">
        <f>0.475+1.225+18</f>
        <v>19.7</v>
      </c>
      <c r="E84" s="101">
        <f>2.736+1.446</f>
        <v>4.182</v>
      </c>
      <c r="F84" s="101">
        <v>0</v>
      </c>
      <c r="G84" s="44">
        <v>0</v>
      </c>
      <c r="H84" s="44">
        <v>1200</v>
      </c>
      <c r="I84" s="44">
        <f>0.927</f>
        <v>0.927</v>
      </c>
      <c r="J84" s="44">
        <f>303.2+0.945</f>
        <v>304.145</v>
      </c>
      <c r="K84" s="101">
        <v>0</v>
      </c>
      <c r="L84" s="101">
        <v>0</v>
      </c>
      <c r="M84" s="101">
        <v>110</v>
      </c>
      <c r="N84" s="102">
        <f>1.304+110+2.53</f>
        <v>113.834</v>
      </c>
      <c r="O84" s="66">
        <f t="shared" si="1"/>
        <v>1754.3799999999999</v>
      </c>
      <c r="R84" s="183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</row>
    <row r="85" spans="1:39" s="9" customFormat="1" ht="12.75">
      <c r="A85" s="196"/>
      <c r="B85" s="163" t="s">
        <v>59</v>
      </c>
      <c r="C85" s="100">
        <v>0</v>
      </c>
      <c r="D85" s="101">
        <v>0</v>
      </c>
      <c r="E85" s="101">
        <v>0</v>
      </c>
      <c r="F85" s="101">
        <v>42.091</v>
      </c>
      <c r="G85" s="44">
        <v>0</v>
      </c>
      <c r="H85" s="44">
        <v>0</v>
      </c>
      <c r="I85" s="44">
        <v>0</v>
      </c>
      <c r="J85" s="44">
        <v>0</v>
      </c>
      <c r="K85" s="101">
        <v>0</v>
      </c>
      <c r="L85" s="101">
        <v>0</v>
      </c>
      <c r="M85" s="101">
        <v>0</v>
      </c>
      <c r="N85" s="102">
        <v>0</v>
      </c>
      <c r="O85" s="66">
        <f t="shared" si="1"/>
        <v>42.091</v>
      </c>
      <c r="R85" s="183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</row>
    <row r="86" spans="1:39" s="9" customFormat="1" ht="12.75">
      <c r="A86" s="196"/>
      <c r="B86" s="163" t="s">
        <v>60</v>
      </c>
      <c r="C86" s="100">
        <v>0</v>
      </c>
      <c r="D86" s="101">
        <v>0</v>
      </c>
      <c r="E86" s="101">
        <v>0</v>
      </c>
      <c r="F86" s="101">
        <v>0</v>
      </c>
      <c r="G86" s="44">
        <v>0</v>
      </c>
      <c r="H86" s="44">
        <v>12.5</v>
      </c>
      <c r="I86" s="44">
        <v>0</v>
      </c>
      <c r="J86" s="44">
        <v>0</v>
      </c>
      <c r="K86" s="101">
        <v>0</v>
      </c>
      <c r="L86" s="101">
        <v>0</v>
      </c>
      <c r="M86" s="101">
        <v>0</v>
      </c>
      <c r="N86" s="102">
        <v>0</v>
      </c>
      <c r="O86" s="66">
        <f t="shared" si="1"/>
        <v>12.5</v>
      </c>
      <c r="R86" s="183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</row>
    <row r="87" spans="1:39" s="9" customFormat="1" ht="15.75">
      <c r="A87" s="196"/>
      <c r="B87" s="163" t="s">
        <v>26</v>
      </c>
      <c r="C87" s="100">
        <v>0</v>
      </c>
      <c r="D87" s="101">
        <v>0</v>
      </c>
      <c r="E87" s="101">
        <v>0</v>
      </c>
      <c r="F87" s="101">
        <v>0</v>
      </c>
      <c r="G87" s="44">
        <v>0</v>
      </c>
      <c r="H87" s="44">
        <v>0</v>
      </c>
      <c r="I87" s="44">
        <v>0</v>
      </c>
      <c r="J87" s="44">
        <v>0</v>
      </c>
      <c r="K87" s="101">
        <v>0</v>
      </c>
      <c r="L87" s="101">
        <v>0</v>
      </c>
      <c r="M87" s="101">
        <v>0</v>
      </c>
      <c r="N87" s="102">
        <v>0</v>
      </c>
      <c r="O87" s="66">
        <f t="shared" si="1"/>
        <v>0</v>
      </c>
      <c r="R87" s="179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</row>
    <row r="88" spans="1:39" s="9" customFormat="1" ht="12.75">
      <c r="A88" s="196"/>
      <c r="B88" s="163" t="s">
        <v>27</v>
      </c>
      <c r="C88" s="100">
        <v>0</v>
      </c>
      <c r="D88" s="101">
        <v>0</v>
      </c>
      <c r="E88" s="101">
        <v>0</v>
      </c>
      <c r="F88" s="101">
        <v>0</v>
      </c>
      <c r="G88" s="44">
        <v>0</v>
      </c>
      <c r="H88" s="44">
        <v>0</v>
      </c>
      <c r="I88" s="44">
        <v>0</v>
      </c>
      <c r="J88" s="44">
        <v>0</v>
      </c>
      <c r="K88" s="101">
        <v>0</v>
      </c>
      <c r="L88" s="101">
        <v>21.05</v>
      </c>
      <c r="M88" s="101">
        <v>0</v>
      </c>
      <c r="N88" s="102">
        <v>0</v>
      </c>
      <c r="O88" s="66">
        <f t="shared" si="1"/>
        <v>21.05</v>
      </c>
      <c r="R88" s="183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</row>
    <row r="89" spans="1:39" s="9" customFormat="1" ht="12.75">
      <c r="A89" s="196"/>
      <c r="B89" s="163" t="s">
        <v>61</v>
      </c>
      <c r="C89" s="103">
        <v>0</v>
      </c>
      <c r="D89" s="72">
        <v>0</v>
      </c>
      <c r="E89" s="72">
        <f>0.37+1.7</f>
        <v>2.07</v>
      </c>
      <c r="F89" s="101">
        <v>0</v>
      </c>
      <c r="G89" s="44">
        <v>0</v>
      </c>
      <c r="H89" s="44">
        <v>0</v>
      </c>
      <c r="I89" s="44">
        <v>0</v>
      </c>
      <c r="J89" s="44">
        <v>0</v>
      </c>
      <c r="K89" s="72">
        <v>0</v>
      </c>
      <c r="L89" s="72">
        <v>0</v>
      </c>
      <c r="M89" s="72">
        <v>0</v>
      </c>
      <c r="N89" s="104">
        <v>0</v>
      </c>
      <c r="O89" s="66">
        <f t="shared" si="1"/>
        <v>2.07</v>
      </c>
      <c r="R89" s="182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</row>
    <row r="90" spans="1:39" s="9" customFormat="1" ht="12.75">
      <c r="A90" s="196"/>
      <c r="B90" s="163" t="s">
        <v>62</v>
      </c>
      <c r="C90" s="103">
        <v>15.83</v>
      </c>
      <c r="D90" s="72">
        <v>0</v>
      </c>
      <c r="E90" s="72">
        <v>0</v>
      </c>
      <c r="F90" s="101">
        <v>15.876</v>
      </c>
      <c r="G90" s="44">
        <v>15.88</v>
      </c>
      <c r="H90" s="44">
        <v>15.876</v>
      </c>
      <c r="I90" s="44">
        <v>0</v>
      </c>
      <c r="J90" s="44">
        <v>31.75</v>
      </c>
      <c r="K90" s="72">
        <v>15.88</v>
      </c>
      <c r="L90" s="72">
        <v>15.88</v>
      </c>
      <c r="M90" s="72">
        <v>0</v>
      </c>
      <c r="N90" s="104">
        <f>15.88</f>
        <v>15.88</v>
      </c>
      <c r="O90" s="66">
        <f t="shared" si="1"/>
        <v>142.85199999999998</v>
      </c>
      <c r="R90" s="183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</row>
    <row r="91" spans="1:39" s="9" customFormat="1" ht="12.75">
      <c r="A91" s="196"/>
      <c r="B91" s="163" t="s">
        <v>229</v>
      </c>
      <c r="C91" s="103">
        <v>0</v>
      </c>
      <c r="D91" s="72">
        <v>0</v>
      </c>
      <c r="E91" s="72">
        <v>44</v>
      </c>
      <c r="F91" s="101">
        <v>0</v>
      </c>
      <c r="G91" s="44">
        <v>0</v>
      </c>
      <c r="H91" s="44">
        <v>0</v>
      </c>
      <c r="I91" s="44">
        <v>0</v>
      </c>
      <c r="J91" s="44">
        <v>0</v>
      </c>
      <c r="K91" s="72">
        <v>0</v>
      </c>
      <c r="L91" s="72">
        <v>22</v>
      </c>
      <c r="M91" s="72">
        <v>0</v>
      </c>
      <c r="N91" s="104">
        <v>0</v>
      </c>
      <c r="O91" s="66">
        <f t="shared" si="1"/>
        <v>66</v>
      </c>
      <c r="R91" s="182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</row>
    <row r="92" spans="1:39" s="9" customFormat="1" ht="12.75">
      <c r="A92" s="196"/>
      <c r="B92" s="163" t="s">
        <v>104</v>
      </c>
      <c r="C92" s="103">
        <v>0</v>
      </c>
      <c r="D92" s="72">
        <v>545.72</v>
      </c>
      <c r="E92" s="72">
        <v>0</v>
      </c>
      <c r="F92" s="101">
        <v>0</v>
      </c>
      <c r="G92" s="44">
        <v>0</v>
      </c>
      <c r="H92" s="44">
        <v>0</v>
      </c>
      <c r="I92" s="44">
        <v>18</v>
      </c>
      <c r="J92" s="44">
        <v>0</v>
      </c>
      <c r="K92" s="72">
        <v>0</v>
      </c>
      <c r="L92" s="72">
        <v>0</v>
      </c>
      <c r="M92" s="72">
        <v>0</v>
      </c>
      <c r="N92" s="104">
        <v>0</v>
      </c>
      <c r="O92" s="66">
        <f t="shared" si="1"/>
        <v>563.72</v>
      </c>
      <c r="R92" s="182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</row>
    <row r="93" spans="1:39" s="9" customFormat="1" ht="12.75">
      <c r="A93" s="196"/>
      <c r="B93" s="163" t="s">
        <v>72</v>
      </c>
      <c r="C93" s="103">
        <f>3.147+1.13+18+0.07</f>
        <v>22.347</v>
      </c>
      <c r="D93" s="72">
        <f>0.365+3.215+2.171+19.8+0.15</f>
        <v>25.701</v>
      </c>
      <c r="E93" s="72">
        <f>17.093+0.04+0.402+0.91</f>
        <v>18.445</v>
      </c>
      <c r="F93" s="101">
        <f>0.408+0.91</f>
        <v>1.318</v>
      </c>
      <c r="G93" s="44">
        <v>2.075</v>
      </c>
      <c r="H93" s="44">
        <v>0.8</v>
      </c>
      <c r="I93" s="44">
        <v>0</v>
      </c>
      <c r="J93" s="44">
        <v>0</v>
      </c>
      <c r="K93" s="72">
        <v>0</v>
      </c>
      <c r="L93" s="72">
        <v>0</v>
      </c>
      <c r="M93" s="72">
        <v>0.23</v>
      </c>
      <c r="N93" s="104">
        <v>3.311</v>
      </c>
      <c r="O93" s="66">
        <f t="shared" si="1"/>
        <v>74.227</v>
      </c>
      <c r="R93" s="178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</row>
    <row r="94" spans="1:39" s="9" customFormat="1" ht="15.75">
      <c r="A94" s="196"/>
      <c r="B94" s="163" t="s">
        <v>73</v>
      </c>
      <c r="C94" s="103">
        <v>152</v>
      </c>
      <c r="D94" s="72">
        <f>310.54+1.75</f>
        <v>312.29</v>
      </c>
      <c r="E94" s="72">
        <v>60.9</v>
      </c>
      <c r="F94" s="101">
        <v>0</v>
      </c>
      <c r="G94" s="44">
        <v>0</v>
      </c>
      <c r="H94" s="44">
        <v>0</v>
      </c>
      <c r="I94" s="44">
        <f>281.4+3.8</f>
        <v>285.2</v>
      </c>
      <c r="J94" s="44">
        <f>225.1+2.775+0.464</f>
        <v>228.339</v>
      </c>
      <c r="K94" s="72">
        <v>146.8</v>
      </c>
      <c r="L94" s="72">
        <v>21.41</v>
      </c>
      <c r="M94" s="72">
        <v>67.725</v>
      </c>
      <c r="N94" s="104">
        <v>38.97</v>
      </c>
      <c r="O94" s="66">
        <f t="shared" si="1"/>
        <v>1313.634</v>
      </c>
      <c r="R94" s="179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</row>
    <row r="95" spans="1:39" s="9" customFormat="1" ht="15.75">
      <c r="A95" s="196"/>
      <c r="B95" s="163" t="s">
        <v>101</v>
      </c>
      <c r="C95" s="103">
        <v>0</v>
      </c>
      <c r="D95" s="72">
        <v>0</v>
      </c>
      <c r="E95" s="72">
        <v>0</v>
      </c>
      <c r="F95" s="101">
        <v>38</v>
      </c>
      <c r="G95" s="44">
        <v>0</v>
      </c>
      <c r="H95" s="44">
        <v>0</v>
      </c>
      <c r="I95" s="44">
        <v>0</v>
      </c>
      <c r="J95" s="44">
        <v>0</v>
      </c>
      <c r="K95" s="72">
        <v>0</v>
      </c>
      <c r="L95" s="72">
        <v>0</v>
      </c>
      <c r="M95" s="72">
        <v>0</v>
      </c>
      <c r="N95" s="104">
        <v>0</v>
      </c>
      <c r="O95" s="66">
        <f t="shared" si="1"/>
        <v>38</v>
      </c>
      <c r="R95" s="179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</row>
    <row r="96" spans="1:39" s="9" customFormat="1" ht="15.75">
      <c r="A96" s="196"/>
      <c r="B96" s="163" t="s">
        <v>63</v>
      </c>
      <c r="C96" s="103">
        <v>0</v>
      </c>
      <c r="D96" s="72">
        <v>0</v>
      </c>
      <c r="E96" s="72">
        <v>0</v>
      </c>
      <c r="F96" s="101">
        <v>0</v>
      </c>
      <c r="G96" s="44">
        <v>0</v>
      </c>
      <c r="H96" s="44">
        <v>0</v>
      </c>
      <c r="I96" s="44">
        <v>100</v>
      </c>
      <c r="J96" s="44">
        <v>0.2</v>
      </c>
      <c r="K96" s="72">
        <v>0</v>
      </c>
      <c r="L96" s="72">
        <v>0</v>
      </c>
      <c r="M96" s="72">
        <v>0</v>
      </c>
      <c r="N96" s="104">
        <v>0</v>
      </c>
      <c r="O96" s="66">
        <f t="shared" si="1"/>
        <v>100.2</v>
      </c>
      <c r="R96" s="179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</row>
    <row r="97" spans="1:39" s="9" customFormat="1" ht="12.75">
      <c r="A97" s="196"/>
      <c r="B97" s="163" t="s">
        <v>100</v>
      </c>
      <c r="C97" s="103">
        <v>23.26</v>
      </c>
      <c r="D97" s="72">
        <v>0</v>
      </c>
      <c r="E97" s="72">
        <v>0</v>
      </c>
      <c r="F97" s="101">
        <v>0</v>
      </c>
      <c r="G97" s="44">
        <v>0</v>
      </c>
      <c r="H97" s="44">
        <v>0</v>
      </c>
      <c r="I97" s="44">
        <v>0</v>
      </c>
      <c r="J97" s="44">
        <v>0</v>
      </c>
      <c r="K97" s="72">
        <v>0</v>
      </c>
      <c r="L97" s="72">
        <v>0</v>
      </c>
      <c r="M97" s="72">
        <v>0</v>
      </c>
      <c r="N97" s="104">
        <v>0</v>
      </c>
      <c r="O97" s="66">
        <f t="shared" si="1"/>
        <v>23.26</v>
      </c>
      <c r="R97" s="180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</row>
    <row r="98" spans="1:39" s="9" customFormat="1" ht="12.75">
      <c r="A98" s="196"/>
      <c r="B98" s="163" t="s">
        <v>64</v>
      </c>
      <c r="C98" s="103">
        <f>24.494+0.9+1.38</f>
        <v>26.773999999999997</v>
      </c>
      <c r="D98" s="72">
        <f>155.6+0.06+0.468</f>
        <v>156.128</v>
      </c>
      <c r="E98" s="72">
        <f>74.48+1.49+0.1+0.04+1.4+1.946+0.17</f>
        <v>79.626</v>
      </c>
      <c r="F98" s="101">
        <f>67.933+0.68+1.73</f>
        <v>70.34300000000002</v>
      </c>
      <c r="G98" s="44">
        <f>293.7+8.63+1.06+0.182+0.61+42+0.09</f>
        <v>346.272</v>
      </c>
      <c r="H98" s="44">
        <f>78+1+1.28+17.94</f>
        <v>98.22</v>
      </c>
      <c r="I98" s="44">
        <f>334.8+3.77+0.42+0.794+0.46</f>
        <v>340.24399999999997</v>
      </c>
      <c r="J98" s="44">
        <f>175+4.67+3.91</f>
        <v>183.57999999999998</v>
      </c>
      <c r="K98" s="72">
        <f>276.8+2.02+0.91+1.249+0.1</f>
        <v>281.07900000000006</v>
      </c>
      <c r="L98" s="72">
        <f>376.5+0.62+1.73+0.58+0.18</f>
        <v>379.61</v>
      </c>
      <c r="M98" s="72">
        <f>223.86+0.22+0.228+0.474+0.28</f>
        <v>225.062</v>
      </c>
      <c r="N98" s="104">
        <f>100.2+0.4+3.48+0.0862+0.304+0.618</f>
        <v>105.08820000000001</v>
      </c>
      <c r="O98" s="66">
        <f t="shared" si="1"/>
        <v>2292.0262000000002</v>
      </c>
      <c r="R98" s="183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</row>
    <row r="99" spans="1:39" s="9" customFormat="1" ht="12.75">
      <c r="A99" s="196"/>
      <c r="B99" s="163" t="s">
        <v>99</v>
      </c>
      <c r="C99" s="103">
        <f>75.02+24.5+214.71+600+14+23.55+12.3+124.79+7.48</f>
        <v>1096.35</v>
      </c>
      <c r="D99" s="72">
        <f>208.8+105+80+5+11+1.92+250+37+1260+3+0.5</f>
        <v>1962.22</v>
      </c>
      <c r="E99" s="72">
        <f>2+3.5+27.04+1300+6401+515+172.5+45+7.5+14.5+174.85+1.584</f>
        <v>8664.474000000002</v>
      </c>
      <c r="F99" s="101">
        <f>4.005+2+13.35+47.2+51+1+0.34+79.5+7+5+4.224</f>
        <v>214.619</v>
      </c>
      <c r="G99" s="44">
        <f>84+127+46.65+3+2.179+17+6.592+2+23+1200+10.32+0.743</f>
        <v>1522.4839999999997</v>
      </c>
      <c r="H99" s="44">
        <f>105+97.7+25+13</f>
        <v>240.7</v>
      </c>
      <c r="I99" s="44">
        <f>598.02+18+1.5+31+4.97</f>
        <v>653.49</v>
      </c>
      <c r="J99" s="44">
        <f>907.5+42+79.95+2+3+5.28+15+11+11.3+27.44+5.72+23.94</f>
        <v>1134.13</v>
      </c>
      <c r="K99" s="72">
        <f>1000+14.63+5.679+20+0.65+5+9+42.45+2+0.12</f>
        <v>1099.529</v>
      </c>
      <c r="L99" s="72">
        <f>413.6+120.9+45.9+1+1+6+5+5+19.97+50</f>
        <v>668.37</v>
      </c>
      <c r="M99" s="72">
        <f>0.05+42.25+45.99+12.85+30+7+3.14+22+1.737+135.4+2.152+3.76+2+0.55+18+12+5.789+50+2.65</f>
        <v>397.3179999999999</v>
      </c>
      <c r="N99" s="104">
        <f>48+23+138.5+24.5+12+3.5+10+5+29.65+78.56+0.75</f>
        <v>373.46</v>
      </c>
      <c r="O99" s="66">
        <f t="shared" si="1"/>
        <v>18027.144</v>
      </c>
      <c r="R99" s="183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</row>
    <row r="100" spans="1:39" s="9" customFormat="1" ht="12.75">
      <c r="A100" s="196"/>
      <c r="B100" s="163" t="s">
        <v>65</v>
      </c>
      <c r="C100" s="103">
        <f>115+37.8+57.7+31.1+45.8+4.008</f>
        <v>291.40799999999996</v>
      </c>
      <c r="D100" s="72">
        <f>209.75+30.8</f>
        <v>240.55</v>
      </c>
      <c r="E100" s="72">
        <f>37.18+15.4+26.2</f>
        <v>78.78</v>
      </c>
      <c r="F100" s="101">
        <f>15.88+1</f>
        <v>16.880000000000003</v>
      </c>
      <c r="G100" s="44">
        <f>15.4+25.2</f>
        <v>40.6</v>
      </c>
      <c r="H100" s="44">
        <f>18.56+15.4+15</f>
        <v>48.96</v>
      </c>
      <c r="I100" s="44">
        <f>18.57+25.5+27</f>
        <v>71.07</v>
      </c>
      <c r="J100" s="44">
        <f>19.17+31.276+25.2+4.5+11.5+12.58</f>
        <v>104.226</v>
      </c>
      <c r="K100" s="72">
        <f>53+30</f>
        <v>83</v>
      </c>
      <c r="L100" s="72">
        <f>13.5+13.52+15.88</f>
        <v>42.9</v>
      </c>
      <c r="M100" s="72">
        <f>17.76+40.88</f>
        <v>58.64</v>
      </c>
      <c r="N100" s="104">
        <f>13.5+37.8+16.43</f>
        <v>67.72999999999999</v>
      </c>
      <c r="O100" s="66">
        <f t="shared" si="1"/>
        <v>1144.7440000000001</v>
      </c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</row>
    <row r="101" spans="1:39" s="9" customFormat="1" ht="12.75">
      <c r="A101" s="196"/>
      <c r="B101" s="163" t="s">
        <v>90</v>
      </c>
      <c r="C101" s="103">
        <v>27.45</v>
      </c>
      <c r="D101" s="72">
        <v>0</v>
      </c>
      <c r="E101" s="72">
        <v>0.4</v>
      </c>
      <c r="F101" s="101">
        <v>0</v>
      </c>
      <c r="G101" s="44">
        <v>0</v>
      </c>
      <c r="H101" s="44">
        <v>0</v>
      </c>
      <c r="I101" s="44">
        <v>0</v>
      </c>
      <c r="J101" s="44">
        <v>12.248</v>
      </c>
      <c r="K101" s="72">
        <v>1.051</v>
      </c>
      <c r="L101" s="72">
        <f>1+1.125</f>
        <v>2.125</v>
      </c>
      <c r="M101" s="72">
        <v>0</v>
      </c>
      <c r="N101" s="104">
        <v>1</v>
      </c>
      <c r="O101" s="66">
        <f t="shared" si="1"/>
        <v>44.274</v>
      </c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</row>
    <row r="102" spans="1:39" s="9" customFormat="1" ht="12.75">
      <c r="A102" s="196"/>
      <c r="B102" s="163" t="s">
        <v>66</v>
      </c>
      <c r="C102" s="103">
        <f>10698+69.413</f>
        <v>10767.413</v>
      </c>
      <c r="D102" s="72">
        <f>22.499+5878.9+52.8</f>
        <v>5954.199</v>
      </c>
      <c r="E102" s="72">
        <f>100.8+3000+51.065</f>
        <v>3151.8650000000002</v>
      </c>
      <c r="F102" s="101">
        <f>367.2+7730</f>
        <v>8097.2</v>
      </c>
      <c r="G102" s="44">
        <f>96.16+1258+26.4</f>
        <v>1380.5600000000002</v>
      </c>
      <c r="H102" s="44">
        <f>122.1+497.45</f>
        <v>619.55</v>
      </c>
      <c r="I102" s="44">
        <f>72+2110.6+89.31</f>
        <v>2271.91</v>
      </c>
      <c r="J102" s="44">
        <f>44+0.32+175.13</f>
        <v>219.45</v>
      </c>
      <c r="K102" s="72">
        <f>39.54+50+3800+3896+41.75+7580</f>
        <v>15407.29</v>
      </c>
      <c r="L102" s="72">
        <f>48.3+8812+98.56</f>
        <v>8958.859999999999</v>
      </c>
      <c r="M102" s="72">
        <v>4700</v>
      </c>
      <c r="N102" s="104">
        <f>40.04+83.65</f>
        <v>123.69</v>
      </c>
      <c r="O102" s="66">
        <f t="shared" si="1"/>
        <v>61651.98700000001</v>
      </c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</row>
    <row r="103" spans="1:39" s="9" customFormat="1" ht="12.75">
      <c r="A103" s="196"/>
      <c r="B103" s="163" t="s">
        <v>9</v>
      </c>
      <c r="C103" s="103">
        <f>1948+44.61+127</f>
        <v>2119.6099999999997</v>
      </c>
      <c r="D103" s="72">
        <f>23+3064.9+3.18+63.504</f>
        <v>3154.584</v>
      </c>
      <c r="E103" s="72">
        <v>0</v>
      </c>
      <c r="F103" s="101">
        <f>1698+95.26</f>
        <v>1793.26</v>
      </c>
      <c r="G103" s="44">
        <f>1215+25.8+70.05+127</f>
        <v>1437.85</v>
      </c>
      <c r="H103" s="44">
        <f>841.7+31.752</f>
        <v>873.452</v>
      </c>
      <c r="I103" s="44">
        <f>43.85+478.6+62.5</f>
        <v>584.95</v>
      </c>
      <c r="J103" s="44">
        <f>24+490.5+47.61</f>
        <v>562.11</v>
      </c>
      <c r="K103" s="72">
        <f>537.3+23.53+95.26+11.1+8</f>
        <v>675.1899999999999</v>
      </c>
      <c r="L103" s="72">
        <f>49.35+661.8+31.75</f>
        <v>742.9</v>
      </c>
      <c r="M103" s="72">
        <f>877.8+23.5+128+0.606</f>
        <v>1029.906</v>
      </c>
      <c r="N103" s="104">
        <f>4045+1139+32</f>
        <v>5216</v>
      </c>
      <c r="O103" s="66">
        <f t="shared" si="1"/>
        <v>18189.812</v>
      </c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</row>
    <row r="104" spans="1:39" s="9" customFormat="1" ht="12.75">
      <c r="A104" s="196"/>
      <c r="B104" s="163" t="s">
        <v>67</v>
      </c>
      <c r="C104" s="103">
        <v>38.496</v>
      </c>
      <c r="D104" s="72">
        <v>0</v>
      </c>
      <c r="E104" s="72">
        <v>58.937</v>
      </c>
      <c r="F104" s="101">
        <v>0</v>
      </c>
      <c r="G104" s="44">
        <v>0</v>
      </c>
      <c r="H104" s="44">
        <v>19.31</v>
      </c>
      <c r="I104" s="44">
        <f>19.255</f>
        <v>19.255</v>
      </c>
      <c r="J104" s="44">
        <v>19.27</v>
      </c>
      <c r="K104" s="72">
        <f>19.33+15</f>
        <v>34.33</v>
      </c>
      <c r="L104" s="72">
        <v>19.9</v>
      </c>
      <c r="M104" s="72">
        <v>20</v>
      </c>
      <c r="N104" s="104">
        <v>19.9</v>
      </c>
      <c r="O104" s="66">
        <f t="shared" si="1"/>
        <v>249.39800000000002</v>
      </c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</row>
    <row r="105" spans="1:39" s="9" customFormat="1" ht="12.75">
      <c r="A105" s="196"/>
      <c r="B105" s="163" t="s">
        <v>68</v>
      </c>
      <c r="C105" s="103">
        <v>6000</v>
      </c>
      <c r="D105" s="72">
        <v>0.06</v>
      </c>
      <c r="E105" s="72">
        <v>0</v>
      </c>
      <c r="F105" s="101">
        <v>0</v>
      </c>
      <c r="G105" s="44">
        <f>0.5+0.7</f>
        <v>1.2</v>
      </c>
      <c r="H105" s="44">
        <v>1.2</v>
      </c>
      <c r="I105" s="44">
        <v>0</v>
      </c>
      <c r="J105" s="44">
        <v>1.9</v>
      </c>
      <c r="K105" s="72">
        <v>0</v>
      </c>
      <c r="L105" s="72">
        <v>0</v>
      </c>
      <c r="M105" s="72">
        <v>0</v>
      </c>
      <c r="N105" s="104">
        <v>0</v>
      </c>
      <c r="O105" s="66">
        <f t="shared" si="1"/>
        <v>6004.36</v>
      </c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</row>
    <row r="106" spans="1:39" s="9" customFormat="1" ht="12.75">
      <c r="A106" s="196"/>
      <c r="B106" s="163" t="s">
        <v>69</v>
      </c>
      <c r="C106" s="103">
        <v>10</v>
      </c>
      <c r="D106" s="72">
        <v>0</v>
      </c>
      <c r="E106" s="72">
        <v>13</v>
      </c>
      <c r="F106" s="101">
        <v>0</v>
      </c>
      <c r="G106" s="44">
        <v>0</v>
      </c>
      <c r="H106" s="44">
        <v>0</v>
      </c>
      <c r="I106" s="44">
        <v>0</v>
      </c>
      <c r="J106" s="44">
        <v>10</v>
      </c>
      <c r="K106" s="72">
        <v>0</v>
      </c>
      <c r="L106" s="72">
        <v>0</v>
      </c>
      <c r="M106" s="72">
        <v>0</v>
      </c>
      <c r="N106" s="104">
        <v>0</v>
      </c>
      <c r="O106" s="66">
        <f t="shared" si="1"/>
        <v>33</v>
      </c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</row>
    <row r="107" spans="1:39" s="9" customFormat="1" ht="12.75">
      <c r="A107" s="196"/>
      <c r="B107" s="163" t="s">
        <v>70</v>
      </c>
      <c r="C107" s="103">
        <v>0</v>
      </c>
      <c r="D107" s="72">
        <v>110.43</v>
      </c>
      <c r="E107" s="72">
        <v>0</v>
      </c>
      <c r="F107" s="101">
        <v>0</v>
      </c>
      <c r="G107" s="44">
        <v>89.05</v>
      </c>
      <c r="H107" s="44">
        <v>44</v>
      </c>
      <c r="I107" s="44">
        <v>0</v>
      </c>
      <c r="J107" s="44">
        <v>0</v>
      </c>
      <c r="K107" s="72">
        <v>0</v>
      </c>
      <c r="L107" s="72">
        <f>65.12+21</f>
        <v>86.12</v>
      </c>
      <c r="M107" s="72">
        <f>86.51+42.84</f>
        <v>129.35000000000002</v>
      </c>
      <c r="N107" s="104">
        <v>112</v>
      </c>
      <c r="O107" s="66">
        <f t="shared" si="1"/>
        <v>570.95</v>
      </c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</row>
    <row r="108" spans="1:39" s="9" customFormat="1" ht="12.75">
      <c r="A108" s="196"/>
      <c r="B108" s="163" t="s">
        <v>230</v>
      </c>
      <c r="C108" s="103">
        <v>0</v>
      </c>
      <c r="D108" s="72">
        <v>0</v>
      </c>
      <c r="E108" s="72">
        <v>0</v>
      </c>
      <c r="F108" s="101">
        <v>0</v>
      </c>
      <c r="G108" s="44">
        <v>8998</v>
      </c>
      <c r="H108" s="44">
        <v>0</v>
      </c>
      <c r="I108" s="44">
        <v>2000</v>
      </c>
      <c r="J108" s="44">
        <v>0</v>
      </c>
      <c r="K108" s="72">
        <v>0</v>
      </c>
      <c r="L108" s="72">
        <v>0</v>
      </c>
      <c r="M108" s="72">
        <v>0</v>
      </c>
      <c r="N108" s="104">
        <v>0</v>
      </c>
      <c r="O108" s="66">
        <f t="shared" si="1"/>
        <v>10998</v>
      </c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</row>
    <row r="109" spans="1:39" s="9" customFormat="1" ht="12.75">
      <c r="A109" s="196"/>
      <c r="B109" s="163" t="s">
        <v>231</v>
      </c>
      <c r="C109" s="103">
        <f>18.05+11.898</f>
        <v>29.948</v>
      </c>
      <c r="D109" s="72">
        <v>2</v>
      </c>
      <c r="E109" s="72">
        <v>0</v>
      </c>
      <c r="F109" s="101">
        <v>7.557</v>
      </c>
      <c r="G109" s="44">
        <v>14.97</v>
      </c>
      <c r="H109" s="44">
        <v>0</v>
      </c>
      <c r="I109" s="44">
        <v>0</v>
      </c>
      <c r="J109" s="44">
        <v>0</v>
      </c>
      <c r="K109" s="72">
        <f>19182</f>
        <v>19182</v>
      </c>
      <c r="L109" s="72">
        <v>0</v>
      </c>
      <c r="M109" s="72">
        <v>0</v>
      </c>
      <c r="N109" s="104">
        <v>0</v>
      </c>
      <c r="O109" s="66">
        <f t="shared" si="1"/>
        <v>19236.475</v>
      </c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</row>
    <row r="110" spans="1:39" s="9" customFormat="1" ht="12.75">
      <c r="A110" s="196"/>
      <c r="B110" s="165" t="s">
        <v>30</v>
      </c>
      <c r="C110" s="103">
        <f>181+10</f>
        <v>191</v>
      </c>
      <c r="D110" s="72">
        <f>88+0.3</f>
        <v>88.3</v>
      </c>
      <c r="E110" s="72">
        <v>65.5</v>
      </c>
      <c r="F110" s="101">
        <v>0</v>
      </c>
      <c r="G110" s="44">
        <v>0</v>
      </c>
      <c r="H110" s="44">
        <v>0</v>
      </c>
      <c r="I110" s="44">
        <v>44</v>
      </c>
      <c r="J110" s="44">
        <f>0.55+176</f>
        <v>176.55</v>
      </c>
      <c r="K110" s="72">
        <v>66</v>
      </c>
      <c r="L110" s="72">
        <v>264</v>
      </c>
      <c r="M110" s="72">
        <f>25+88+10</f>
        <v>123</v>
      </c>
      <c r="N110" s="104">
        <f>724+10+30</f>
        <v>764</v>
      </c>
      <c r="O110" s="66">
        <f t="shared" si="1"/>
        <v>1782.35</v>
      </c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</row>
    <row r="111" spans="1:39" s="9" customFormat="1" ht="13.5" thickBot="1">
      <c r="A111" s="196"/>
      <c r="B111" s="168" t="s">
        <v>71</v>
      </c>
      <c r="C111" s="103">
        <f>0.08+2.219</f>
        <v>2.299</v>
      </c>
      <c r="D111" s="72">
        <f>1.126+24.6</f>
        <v>25.726000000000003</v>
      </c>
      <c r="E111" s="72">
        <f>3.29+0.08+0.482</f>
        <v>3.8520000000000003</v>
      </c>
      <c r="F111" s="72">
        <v>0</v>
      </c>
      <c r="G111" s="89">
        <v>0</v>
      </c>
      <c r="H111" s="89">
        <v>2.71</v>
      </c>
      <c r="I111" s="89">
        <f>1.1+0.089+0.45+1.049</f>
        <v>2.6879999999999997</v>
      </c>
      <c r="J111" s="89">
        <f>0.012+1.08+0.35+14.588+10.747+2.727</f>
        <v>29.504</v>
      </c>
      <c r="K111" s="72">
        <v>0</v>
      </c>
      <c r="L111" s="72">
        <v>0</v>
      </c>
      <c r="M111" s="72">
        <f>0.387+4</f>
        <v>4.3870000000000005</v>
      </c>
      <c r="N111" s="104">
        <v>132.04</v>
      </c>
      <c r="O111" s="126">
        <f t="shared" si="1"/>
        <v>203.20600000000002</v>
      </c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</row>
    <row r="112" spans="1:39" s="9" customFormat="1" ht="32.25" thickBot="1">
      <c r="A112" s="199"/>
      <c r="B112" s="86" t="s">
        <v>31</v>
      </c>
      <c r="C112" s="105">
        <f aca="true" t="shared" si="2" ref="C112:N112">SUM(C7:C58,C65:C111)</f>
        <v>249497.51100000012</v>
      </c>
      <c r="D112" s="106">
        <f t="shared" si="2"/>
        <v>104683.86599999995</v>
      </c>
      <c r="E112" s="106">
        <f t="shared" si="2"/>
        <v>100672.63100000004</v>
      </c>
      <c r="F112" s="106">
        <f t="shared" si="2"/>
        <v>72079.0181022</v>
      </c>
      <c r="G112" s="106">
        <f t="shared" si="2"/>
        <v>55208.933999999994</v>
      </c>
      <c r="H112" s="106">
        <f t="shared" si="2"/>
        <v>64993.51999999998</v>
      </c>
      <c r="I112" s="106">
        <f t="shared" si="2"/>
        <v>55192.803</v>
      </c>
      <c r="J112" s="106">
        <f t="shared" si="2"/>
        <v>78311.742</v>
      </c>
      <c r="K112" s="106">
        <f t="shared" si="2"/>
        <v>667310.0608</v>
      </c>
      <c r="L112" s="106">
        <f t="shared" si="2"/>
        <v>717987.3620000003</v>
      </c>
      <c r="M112" s="106">
        <f t="shared" si="2"/>
        <v>73484.22400000002</v>
      </c>
      <c r="N112" s="107">
        <f t="shared" si="2"/>
        <v>104897.0452</v>
      </c>
      <c r="O112" s="177">
        <f>SUM(O7:O58,O65:O111)</f>
        <v>2344318.7171022</v>
      </c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</row>
    <row r="113" spans="1:39" s="9" customFormat="1" ht="12.75">
      <c r="A113" s="14"/>
      <c r="B113" s="11"/>
      <c r="C113" s="80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</row>
    <row r="114" spans="1:39" s="9" customFormat="1" ht="12.75">
      <c r="A114" s="14"/>
      <c r="B114" s="11"/>
      <c r="C114" s="80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</row>
    <row r="115" spans="1:39" s="9" customFormat="1" ht="12.75">
      <c r="A115" s="14"/>
      <c r="B115" s="11"/>
      <c r="C115" s="80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</row>
    <row r="116" spans="1:39" s="9" customFormat="1" ht="12.75">
      <c r="A116" s="14"/>
      <c r="B116" s="11"/>
      <c r="C116" s="80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</row>
    <row r="117" spans="1:39" s="9" customFormat="1" ht="12.75">
      <c r="A117" s="14"/>
      <c r="B117" s="11"/>
      <c r="C117" s="80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</row>
    <row r="118" spans="1:39" s="9" customFormat="1" ht="12.75">
      <c r="A118" s="14"/>
      <c r="B118" s="11"/>
      <c r="C118" s="80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</row>
    <row r="119" spans="1:39" s="9" customFormat="1" ht="12.75">
      <c r="A119" s="14"/>
      <c r="B119" s="11"/>
      <c r="C119" s="80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</row>
    <row r="120" spans="1:39" s="9" customFormat="1" ht="12.75">
      <c r="A120" s="14"/>
      <c r="B120" s="11"/>
      <c r="C120" s="80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</row>
    <row r="121" spans="1:39" s="9" customFormat="1" ht="12.75">
      <c r="A121" s="14"/>
      <c r="B121" s="11"/>
      <c r="C121" s="80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</row>
    <row r="122" spans="1:39" s="9" customFormat="1" ht="12.75">
      <c r="A122" s="14"/>
      <c r="B122" s="11"/>
      <c r="C122" s="80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</row>
    <row r="123" spans="1:39" s="9" customFormat="1" ht="12.75">
      <c r="A123" s="14"/>
      <c r="B123" s="11"/>
      <c r="C123" s="80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</row>
    <row r="124" spans="1:39" s="9" customFormat="1" ht="12.75">
      <c r="A124" s="14"/>
      <c r="B124" s="11"/>
      <c r="C124" s="80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</row>
    <row r="125" spans="1:39" s="9" customFormat="1" ht="12.75">
      <c r="A125" s="14"/>
      <c r="B125" s="11"/>
      <c r="C125" s="80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</row>
    <row r="126" spans="1:39" s="9" customFormat="1" ht="12.75">
      <c r="A126" s="14"/>
      <c r="B126" s="11"/>
      <c r="C126" s="80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</row>
    <row r="127" spans="1:39" s="9" customFormat="1" ht="12.75">
      <c r="A127" s="14"/>
      <c r="B127" s="11"/>
      <c r="C127" s="80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</row>
    <row r="128" spans="1:39" s="9" customFormat="1" ht="12.75">
      <c r="A128" s="14"/>
      <c r="B128" s="11"/>
      <c r="C128" s="80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</row>
    <row r="129" spans="1:39" s="9" customFormat="1" ht="12.75">
      <c r="A129" s="14"/>
      <c r="B129" s="11"/>
      <c r="C129" s="80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</row>
    <row r="130" spans="1:39" s="9" customFormat="1" ht="12.75">
      <c r="A130" s="14"/>
      <c r="B130" s="11"/>
      <c r="C130" s="80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</row>
    <row r="131" spans="1:39" s="9" customFormat="1" ht="12.75">
      <c r="A131" s="14"/>
      <c r="B131" s="11"/>
      <c r="C131" s="80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</row>
    <row r="132" spans="1:39" s="9" customFormat="1" ht="12.75">
      <c r="A132" s="14"/>
      <c r="B132" s="11"/>
      <c r="C132" s="80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</row>
    <row r="133" spans="1:39" s="9" customFormat="1" ht="12.75">
      <c r="A133" s="14"/>
      <c r="B133" s="11"/>
      <c r="C133" s="80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</row>
    <row r="134" spans="1:39" s="9" customFormat="1" ht="12.75">
      <c r="A134" s="14"/>
      <c r="B134" s="11"/>
      <c r="C134" s="80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</row>
    <row r="135" spans="1:39" s="9" customFormat="1" ht="12.75">
      <c r="A135" s="14"/>
      <c r="B135" s="11"/>
      <c r="C135" s="80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</row>
    <row r="136" spans="1:39" s="9" customFormat="1" ht="12.75">
      <c r="A136" s="14"/>
      <c r="B136" s="11"/>
      <c r="C136" s="80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</row>
    <row r="137" spans="1:39" s="9" customFormat="1" ht="12.75">
      <c r="A137" s="14"/>
      <c r="B137" s="11"/>
      <c r="C137" s="80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</row>
    <row r="138" spans="1:39" s="9" customFormat="1" ht="12.75">
      <c r="A138" s="14"/>
      <c r="B138" s="11"/>
      <c r="C138" s="80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</row>
    <row r="139" spans="1:39" s="9" customFormat="1" ht="12.75">
      <c r="A139" s="14"/>
      <c r="B139" s="11"/>
      <c r="C139" s="80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</row>
    <row r="140" spans="1:39" s="9" customFormat="1" ht="12.75">
      <c r="A140" s="14"/>
      <c r="B140" s="11"/>
      <c r="C140" s="80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</row>
    <row r="141" spans="1:39" s="9" customFormat="1" ht="12.75">
      <c r="A141" s="14"/>
      <c r="B141" s="11"/>
      <c r="C141" s="80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</row>
    <row r="142" spans="1:39" s="9" customFormat="1" ht="12.75">
      <c r="A142" s="14"/>
      <c r="B142" s="11"/>
      <c r="C142" s="80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</row>
    <row r="143" spans="1:39" s="9" customFormat="1" ht="12.75">
      <c r="A143" s="14"/>
      <c r="B143" s="11"/>
      <c r="C143" s="80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</row>
    <row r="144" spans="1:39" s="9" customFormat="1" ht="12.75">
      <c r="A144" s="14"/>
      <c r="B144" s="11"/>
      <c r="C144" s="80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</row>
    <row r="145" spans="1:39" s="9" customFormat="1" ht="12.75">
      <c r="A145" s="14"/>
      <c r="B145" s="11"/>
      <c r="C145" s="80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</row>
    <row r="146" spans="1:39" s="9" customFormat="1" ht="12.75">
      <c r="A146" s="14"/>
      <c r="B146" s="11"/>
      <c r="C146" s="80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</row>
    <row r="147" spans="1:39" s="9" customFormat="1" ht="12.75">
      <c r="A147" s="14"/>
      <c r="B147" s="11"/>
      <c r="C147" s="80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</row>
    <row r="148" spans="1:39" s="9" customFormat="1" ht="12.75">
      <c r="A148" s="14"/>
      <c r="B148" s="11"/>
      <c r="C148" s="80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</row>
    <row r="149" spans="1:39" s="9" customFormat="1" ht="12.75">
      <c r="A149" s="14"/>
      <c r="B149" s="11"/>
      <c r="C149" s="80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</row>
    <row r="150" spans="1:39" s="9" customFormat="1" ht="12.75">
      <c r="A150" s="14"/>
      <c r="B150" s="11"/>
      <c r="C150" s="80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</row>
    <row r="151" spans="1:39" s="9" customFormat="1" ht="12.75">
      <c r="A151" s="14"/>
      <c r="B151" s="11"/>
      <c r="C151" s="80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</row>
    <row r="152" spans="1:39" s="9" customFormat="1" ht="12.75">
      <c r="A152" s="14"/>
      <c r="B152" s="11"/>
      <c r="C152" s="80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</row>
    <row r="153" spans="1:39" s="9" customFormat="1" ht="12.75">
      <c r="A153" s="14"/>
      <c r="B153" s="11"/>
      <c r="C153" s="80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</row>
    <row r="154" spans="1:39" s="9" customFormat="1" ht="12.75">
      <c r="A154" s="14"/>
      <c r="B154" s="11"/>
      <c r="C154" s="80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</row>
    <row r="155" spans="1:39" s="9" customFormat="1" ht="12.75">
      <c r="A155" s="14"/>
      <c r="B155" s="11"/>
      <c r="C155" s="80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</row>
    <row r="156" spans="1:39" s="9" customFormat="1" ht="12.75">
      <c r="A156" s="14"/>
      <c r="B156" s="11"/>
      <c r="C156" s="80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</row>
    <row r="157" spans="1:39" s="9" customFormat="1" ht="12.75">
      <c r="A157" s="14"/>
      <c r="B157" s="11"/>
      <c r="C157" s="80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</row>
    <row r="158" spans="1:39" s="9" customFormat="1" ht="12.75">
      <c r="A158" s="14"/>
      <c r="B158" s="11"/>
      <c r="C158" s="80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</row>
    <row r="159" spans="1:39" s="9" customFormat="1" ht="12.75">
      <c r="A159" s="14"/>
      <c r="B159" s="11"/>
      <c r="C159" s="80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</row>
    <row r="160" spans="1:39" s="9" customFormat="1" ht="12.75">
      <c r="A160" s="14"/>
      <c r="B160" s="11"/>
      <c r="C160" s="80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</row>
    <row r="161" spans="1:39" s="9" customFormat="1" ht="12.75">
      <c r="A161" s="14"/>
      <c r="B161" s="11"/>
      <c r="C161" s="80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</row>
    <row r="162" spans="1:39" s="9" customFormat="1" ht="12.75">
      <c r="A162" s="14"/>
      <c r="B162" s="11"/>
      <c r="C162" s="80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</row>
    <row r="163" spans="1:39" s="9" customFormat="1" ht="12.75">
      <c r="A163" s="14"/>
      <c r="B163" s="11"/>
      <c r="C163" s="80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</row>
    <row r="164" spans="1:39" s="9" customFormat="1" ht="12.75">
      <c r="A164" s="14"/>
      <c r="B164" s="11"/>
      <c r="C164" s="80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</row>
    <row r="165" spans="1:39" s="9" customFormat="1" ht="12.75">
      <c r="A165" s="14"/>
      <c r="B165" s="11"/>
      <c r="C165" s="80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</row>
    <row r="166" spans="1:39" s="9" customFormat="1" ht="12.75">
      <c r="A166" s="14"/>
      <c r="B166" s="11"/>
      <c r="C166" s="80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</row>
    <row r="167" spans="1:39" s="9" customFormat="1" ht="12.75">
      <c r="A167" s="14"/>
      <c r="B167" s="11"/>
      <c r="C167" s="80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</row>
    <row r="168" spans="1:39" s="9" customFormat="1" ht="12.75">
      <c r="A168" s="14"/>
      <c r="B168" s="11"/>
      <c r="C168" s="80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</row>
    <row r="169" spans="1:39" s="9" customFormat="1" ht="12.75">
      <c r="A169" s="14"/>
      <c r="B169" s="11"/>
      <c r="C169" s="80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</row>
    <row r="170" spans="1:39" s="9" customFormat="1" ht="12.75">
      <c r="A170" s="14"/>
      <c r="B170" s="11"/>
      <c r="C170" s="80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</row>
    <row r="171" spans="1:39" s="9" customFormat="1" ht="12.75">
      <c r="A171" s="14"/>
      <c r="B171" s="11"/>
      <c r="C171" s="80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</row>
    <row r="172" spans="1:39" s="9" customFormat="1" ht="12.75">
      <c r="A172" s="14"/>
      <c r="B172" s="11"/>
      <c r="C172" s="80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</row>
    <row r="173" spans="1:39" s="9" customFormat="1" ht="12.75">
      <c r="A173" s="14"/>
      <c r="B173" s="11"/>
      <c r="C173" s="80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</row>
    <row r="174" spans="1:39" s="9" customFormat="1" ht="12.75">
      <c r="A174" s="14"/>
      <c r="B174" s="11"/>
      <c r="C174" s="80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</row>
    <row r="175" spans="1:39" s="9" customFormat="1" ht="12.75">
      <c r="A175" s="14"/>
      <c r="B175" s="11"/>
      <c r="C175" s="80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</row>
    <row r="176" spans="1:39" s="9" customFormat="1" ht="12.75">
      <c r="A176" s="14"/>
      <c r="B176" s="11"/>
      <c r="C176" s="80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</row>
    <row r="177" spans="1:39" s="9" customFormat="1" ht="12.75">
      <c r="A177" s="14"/>
      <c r="B177" s="11"/>
      <c r="C177" s="80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</row>
    <row r="178" spans="1:39" s="9" customFormat="1" ht="12.75">
      <c r="A178" s="14"/>
      <c r="B178" s="11"/>
      <c r="C178" s="80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</row>
    <row r="179" spans="1:39" s="9" customFormat="1" ht="12.75">
      <c r="A179" s="14"/>
      <c r="B179" s="11"/>
      <c r="C179" s="80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</row>
    <row r="180" spans="1:39" s="9" customFormat="1" ht="12.75">
      <c r="A180" s="14"/>
      <c r="B180" s="11"/>
      <c r="C180" s="80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</row>
    <row r="181" spans="1:39" s="9" customFormat="1" ht="12.75">
      <c r="A181" s="14"/>
      <c r="B181" s="11"/>
      <c r="C181" s="80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</row>
    <row r="182" spans="1:39" s="9" customFormat="1" ht="12.75">
      <c r="A182" s="14"/>
      <c r="B182" s="11"/>
      <c r="C182" s="80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</row>
    <row r="183" spans="1:39" s="9" customFormat="1" ht="12.75">
      <c r="A183" s="14"/>
      <c r="B183" s="11"/>
      <c r="C183" s="80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</row>
    <row r="184" spans="1:39" s="9" customFormat="1" ht="12.75">
      <c r="A184" s="14"/>
      <c r="B184" s="11"/>
      <c r="C184" s="80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</row>
    <row r="185" spans="1:39" s="9" customFormat="1" ht="12.75">
      <c r="A185" s="14"/>
      <c r="B185" s="11"/>
      <c r="C185" s="80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</row>
    <row r="186" spans="1:39" s="9" customFormat="1" ht="12.75">
      <c r="A186" s="14"/>
      <c r="B186" s="11"/>
      <c r="C186" s="80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</row>
    <row r="187" spans="1:39" s="9" customFormat="1" ht="12.75">
      <c r="A187" s="14"/>
      <c r="B187" s="11"/>
      <c r="C187" s="80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</row>
    <row r="188" spans="1:39" s="9" customFormat="1" ht="12.75">
      <c r="A188" s="14"/>
      <c r="B188" s="11"/>
      <c r="C188" s="80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</row>
    <row r="189" spans="1:39" s="9" customFormat="1" ht="12.75">
      <c r="A189" s="14"/>
      <c r="B189" s="11"/>
      <c r="C189" s="80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</row>
    <row r="190" spans="1:39" s="9" customFormat="1" ht="12.75">
      <c r="A190" s="14"/>
      <c r="B190" s="11"/>
      <c r="C190" s="80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</row>
    <row r="191" spans="1:39" s="9" customFormat="1" ht="12.75">
      <c r="A191" s="14"/>
      <c r="B191" s="11"/>
      <c r="C191" s="80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</row>
    <row r="192" spans="1:39" s="9" customFormat="1" ht="12.75">
      <c r="A192" s="14"/>
      <c r="B192" s="11"/>
      <c r="C192" s="80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</row>
    <row r="193" spans="1:39" s="9" customFormat="1" ht="12.75">
      <c r="A193" s="14"/>
      <c r="B193" s="11"/>
      <c r="C193" s="80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</row>
    <row r="194" spans="1:39" s="9" customFormat="1" ht="12.75">
      <c r="A194" s="14"/>
      <c r="B194" s="11"/>
      <c r="C194" s="80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</row>
    <row r="195" spans="1:39" s="9" customFormat="1" ht="12.75">
      <c r="A195" s="14"/>
      <c r="B195" s="11"/>
      <c r="C195" s="80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</row>
    <row r="196" spans="1:39" s="9" customFormat="1" ht="12.75">
      <c r="A196" s="14"/>
      <c r="B196" s="11"/>
      <c r="C196" s="80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</row>
    <row r="197" spans="1:39" s="9" customFormat="1" ht="12.75">
      <c r="A197" s="14"/>
      <c r="B197" s="11"/>
      <c r="C197" s="80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</row>
    <row r="198" spans="1:39" s="9" customFormat="1" ht="12.75">
      <c r="A198" s="14"/>
      <c r="B198" s="11"/>
      <c r="C198" s="80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</row>
    <row r="199" spans="1:39" s="9" customFormat="1" ht="12.75">
      <c r="A199" s="14"/>
      <c r="B199" s="11"/>
      <c r="C199" s="80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</row>
    <row r="200" spans="1:39" s="9" customFormat="1" ht="12.75">
      <c r="A200" s="14"/>
      <c r="B200" s="11"/>
      <c r="C200" s="80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</row>
    <row r="201" spans="1:39" s="9" customFormat="1" ht="12.75">
      <c r="A201" s="14"/>
      <c r="B201" s="11"/>
      <c r="C201" s="80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</row>
    <row r="202" spans="1:39" s="9" customFormat="1" ht="12.75">
      <c r="A202" s="14"/>
      <c r="B202" s="11"/>
      <c r="C202" s="80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</row>
    <row r="203" spans="1:39" s="9" customFormat="1" ht="12.75">
      <c r="A203" s="14"/>
      <c r="B203" s="11"/>
      <c r="C203" s="80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</row>
    <row r="204" spans="1:39" s="9" customFormat="1" ht="12.75">
      <c r="A204" s="14"/>
      <c r="B204" s="11"/>
      <c r="C204" s="80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</row>
    <row r="205" spans="1:39" s="9" customFormat="1" ht="12.75">
      <c r="A205" s="14"/>
      <c r="B205" s="11"/>
      <c r="C205" s="80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</row>
    <row r="206" spans="1:39" s="9" customFormat="1" ht="12.75">
      <c r="A206" s="14"/>
      <c r="B206" s="11"/>
      <c r="C206" s="80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</row>
    <row r="207" spans="1:39" s="9" customFormat="1" ht="12.75">
      <c r="A207" s="14"/>
      <c r="B207" s="11"/>
      <c r="C207" s="80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</row>
    <row r="208" spans="1:39" s="9" customFormat="1" ht="12.75">
      <c r="A208" s="14"/>
      <c r="B208" s="11"/>
      <c r="C208" s="80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</row>
    <row r="209" spans="1:39" s="9" customFormat="1" ht="12.75">
      <c r="A209" s="14"/>
      <c r="B209" s="11"/>
      <c r="C209" s="80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</row>
    <row r="210" spans="1:39" s="9" customFormat="1" ht="12.75">
      <c r="A210" s="14"/>
      <c r="B210" s="11"/>
      <c r="C210" s="80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</row>
    <row r="211" spans="1:39" s="9" customFormat="1" ht="12.75">
      <c r="A211" s="14"/>
      <c r="B211" s="11"/>
      <c r="C211" s="80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</row>
    <row r="212" spans="1:39" s="9" customFormat="1" ht="12.75">
      <c r="A212" s="14"/>
      <c r="B212" s="11"/>
      <c r="C212" s="80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</row>
    <row r="213" spans="1:39" s="9" customFormat="1" ht="12.75">
      <c r="A213" s="14"/>
      <c r="B213" s="11"/>
      <c r="C213" s="80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</row>
    <row r="214" spans="1:39" s="9" customFormat="1" ht="12.75">
      <c r="A214" s="14"/>
      <c r="B214" s="11"/>
      <c r="C214" s="80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</row>
    <row r="215" spans="1:39" s="9" customFormat="1" ht="12.75">
      <c r="A215" s="14"/>
      <c r="B215" s="11"/>
      <c r="C215" s="80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</row>
    <row r="216" spans="1:39" s="9" customFormat="1" ht="12.75">
      <c r="A216" s="14"/>
      <c r="B216" s="11"/>
      <c r="C216" s="80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</row>
    <row r="217" spans="1:39" s="9" customFormat="1" ht="12.75">
      <c r="A217" s="14"/>
      <c r="B217" s="11"/>
      <c r="C217" s="80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</row>
    <row r="218" spans="1:39" s="9" customFormat="1" ht="12.75">
      <c r="A218" s="14"/>
      <c r="B218" s="11"/>
      <c r="C218" s="80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</row>
    <row r="219" spans="1:39" s="9" customFormat="1" ht="12.75">
      <c r="A219" s="14"/>
      <c r="B219" s="11"/>
      <c r="C219" s="80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</row>
    <row r="220" spans="1:39" s="9" customFormat="1" ht="12.75">
      <c r="A220" s="14"/>
      <c r="B220" s="11"/>
      <c r="C220" s="80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</row>
    <row r="221" spans="1:39" s="9" customFormat="1" ht="12.75">
      <c r="A221" s="14"/>
      <c r="B221" s="11"/>
      <c r="C221" s="80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</row>
    <row r="222" spans="1:39" s="9" customFormat="1" ht="12.75">
      <c r="A222" s="14"/>
      <c r="B222" s="11"/>
      <c r="C222" s="80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</row>
    <row r="223" spans="1:39" s="9" customFormat="1" ht="12.75">
      <c r="A223" s="14"/>
      <c r="B223" s="11"/>
      <c r="C223" s="80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</row>
    <row r="224" spans="1:39" s="9" customFormat="1" ht="12.75">
      <c r="A224" s="14"/>
      <c r="B224" s="11"/>
      <c r="C224" s="80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</row>
    <row r="225" spans="1:39" s="9" customFormat="1" ht="12.75">
      <c r="A225" s="14"/>
      <c r="B225" s="11"/>
      <c r="C225" s="80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</row>
    <row r="226" spans="1:39" s="9" customFormat="1" ht="12.75">
      <c r="A226" s="14"/>
      <c r="B226" s="11"/>
      <c r="C226" s="80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</row>
    <row r="227" spans="1:39" s="9" customFormat="1" ht="12.75">
      <c r="A227" s="14"/>
      <c r="B227" s="11"/>
      <c r="C227" s="80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</row>
    <row r="228" spans="1:39" s="9" customFormat="1" ht="12.75">
      <c r="A228" s="14"/>
      <c r="B228" s="11"/>
      <c r="C228" s="80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</row>
    <row r="229" spans="1:39" s="9" customFormat="1" ht="12.75">
      <c r="A229" s="14"/>
      <c r="B229" s="11"/>
      <c r="C229" s="80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</row>
    <row r="230" spans="1:39" s="9" customFormat="1" ht="12.75">
      <c r="A230" s="14"/>
      <c r="B230" s="11"/>
      <c r="C230" s="80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</row>
    <row r="231" spans="1:39" s="9" customFormat="1" ht="12.75">
      <c r="A231" s="14"/>
      <c r="B231" s="11"/>
      <c r="C231" s="80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</row>
    <row r="232" spans="1:39" s="9" customFormat="1" ht="12.75">
      <c r="A232" s="14"/>
      <c r="B232" s="11"/>
      <c r="C232" s="80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</row>
    <row r="233" spans="1:39" s="9" customFormat="1" ht="12.75">
      <c r="A233" s="14"/>
      <c r="B233" s="11"/>
      <c r="C233" s="80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</row>
    <row r="234" spans="1:39" s="9" customFormat="1" ht="12.75">
      <c r="A234" s="14"/>
      <c r="B234" s="11"/>
      <c r="C234" s="80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</row>
    <row r="235" spans="1:39" s="9" customFormat="1" ht="12.75">
      <c r="A235" s="14"/>
      <c r="B235" s="11"/>
      <c r="C235" s="80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</row>
    <row r="236" spans="1:39" s="9" customFormat="1" ht="12.75">
      <c r="A236" s="14"/>
      <c r="B236" s="11"/>
      <c r="C236" s="80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</row>
    <row r="237" spans="1:39" s="9" customFormat="1" ht="12.75">
      <c r="A237" s="14"/>
      <c r="B237" s="11"/>
      <c r="C237" s="80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</row>
    <row r="238" spans="1:39" s="9" customFormat="1" ht="12.75">
      <c r="A238" s="14"/>
      <c r="B238" s="11"/>
      <c r="C238" s="80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</row>
    <row r="239" spans="1:39" s="9" customFormat="1" ht="12.75">
      <c r="A239" s="14"/>
      <c r="B239" s="11"/>
      <c r="C239" s="80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</row>
    <row r="240" spans="1:39" s="9" customFormat="1" ht="12.75">
      <c r="A240" s="14"/>
      <c r="B240" s="11"/>
      <c r="C240" s="80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</row>
    <row r="241" spans="1:39" s="9" customFormat="1" ht="12.75">
      <c r="A241" s="14"/>
      <c r="B241" s="11"/>
      <c r="C241" s="80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</row>
    <row r="242" spans="1:39" s="9" customFormat="1" ht="12.75">
      <c r="A242" s="14"/>
      <c r="B242" s="11"/>
      <c r="C242" s="80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</row>
    <row r="243" spans="1:39" s="9" customFormat="1" ht="12.75">
      <c r="A243" s="14"/>
      <c r="B243" s="11"/>
      <c r="C243" s="80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</row>
    <row r="244" spans="1:39" s="9" customFormat="1" ht="12.75">
      <c r="A244" s="14"/>
      <c r="B244" s="11"/>
      <c r="C244" s="80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</row>
    <row r="245" spans="1:39" s="9" customFormat="1" ht="12.75">
      <c r="A245" s="14"/>
      <c r="B245" s="11"/>
      <c r="C245" s="80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</row>
    <row r="246" spans="1:39" s="9" customFormat="1" ht="12.75">
      <c r="A246" s="14"/>
      <c r="B246" s="11"/>
      <c r="C246" s="80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</row>
    <row r="247" spans="1:39" s="9" customFormat="1" ht="12.75">
      <c r="A247" s="14"/>
      <c r="B247" s="11"/>
      <c r="C247" s="80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</row>
    <row r="248" spans="1:39" s="9" customFormat="1" ht="12.75">
      <c r="A248" s="14"/>
      <c r="B248" s="11"/>
      <c r="C248" s="80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</row>
    <row r="249" spans="1:39" s="9" customFormat="1" ht="12.75">
      <c r="A249" s="14"/>
      <c r="B249" s="11"/>
      <c r="C249" s="80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</row>
    <row r="250" spans="1:39" s="9" customFormat="1" ht="12.75">
      <c r="A250" s="14"/>
      <c r="B250" s="11"/>
      <c r="C250" s="80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</row>
    <row r="251" spans="1:39" s="9" customFormat="1" ht="12.75">
      <c r="A251" s="14"/>
      <c r="B251" s="11"/>
      <c r="C251" s="80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</row>
    <row r="252" spans="1:39" s="9" customFormat="1" ht="12.75">
      <c r="A252" s="14"/>
      <c r="B252" s="11"/>
      <c r="C252" s="80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</row>
    <row r="253" spans="1:39" s="9" customFormat="1" ht="12.75">
      <c r="A253" s="14"/>
      <c r="B253" s="11"/>
      <c r="C253" s="80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</row>
    <row r="254" spans="1:39" s="9" customFormat="1" ht="12.75">
      <c r="A254" s="14"/>
      <c r="B254" s="11"/>
      <c r="C254" s="80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</row>
    <row r="255" spans="1:39" s="9" customFormat="1" ht="12.75">
      <c r="A255" s="14"/>
      <c r="B255" s="11"/>
      <c r="C255" s="80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</row>
    <row r="256" spans="1:39" s="9" customFormat="1" ht="12.75">
      <c r="A256" s="14"/>
      <c r="B256" s="11"/>
      <c r="C256" s="80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</row>
    <row r="257" spans="1:39" s="9" customFormat="1" ht="12.75">
      <c r="A257" s="14"/>
      <c r="B257" s="11"/>
      <c r="C257" s="80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</row>
    <row r="258" spans="1:39" s="9" customFormat="1" ht="12.75">
      <c r="A258" s="14"/>
      <c r="B258" s="11"/>
      <c r="C258" s="80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</row>
    <row r="259" spans="1:39" s="9" customFormat="1" ht="12.75">
      <c r="A259" s="14"/>
      <c r="B259" s="11"/>
      <c r="C259" s="80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</row>
    <row r="260" spans="1:39" s="9" customFormat="1" ht="12.75">
      <c r="A260" s="14"/>
      <c r="B260" s="11"/>
      <c r="C260" s="80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</row>
    <row r="261" spans="1:39" s="9" customFormat="1" ht="12.75">
      <c r="A261" s="14"/>
      <c r="B261" s="11"/>
      <c r="C261" s="80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</row>
    <row r="262" spans="1:39" s="9" customFormat="1" ht="12.75">
      <c r="A262" s="14"/>
      <c r="B262" s="11"/>
      <c r="C262" s="80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</row>
    <row r="263" spans="1:39" s="9" customFormat="1" ht="12.75">
      <c r="A263" s="14"/>
      <c r="B263" s="11"/>
      <c r="C263" s="80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</row>
    <row r="264" spans="1:39" s="9" customFormat="1" ht="12.75">
      <c r="A264" s="14"/>
      <c r="B264" s="11"/>
      <c r="C264" s="80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</row>
    <row r="265" spans="1:39" s="9" customFormat="1" ht="12.75">
      <c r="A265" s="14"/>
      <c r="B265" s="11"/>
      <c r="C265" s="80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</row>
    <row r="266" spans="1:39" s="9" customFormat="1" ht="12.75">
      <c r="A266" s="14"/>
      <c r="B266" s="11"/>
      <c r="C266" s="80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</row>
    <row r="267" spans="1:39" s="9" customFormat="1" ht="12.75">
      <c r="A267" s="14"/>
      <c r="B267" s="11"/>
      <c r="C267" s="80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</row>
    <row r="268" spans="1:39" s="9" customFormat="1" ht="12.75">
      <c r="A268" s="14"/>
      <c r="B268" s="11"/>
      <c r="C268" s="80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</row>
    <row r="269" spans="1:39" s="9" customFormat="1" ht="12.75">
      <c r="A269" s="14"/>
      <c r="B269" s="11"/>
      <c r="C269" s="80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</row>
    <row r="270" spans="1:39" s="9" customFormat="1" ht="12.75">
      <c r="A270" s="14"/>
      <c r="B270" s="11"/>
      <c r="C270" s="80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</row>
    <row r="271" spans="1:39" s="9" customFormat="1" ht="12.75">
      <c r="A271" s="14"/>
      <c r="B271" s="11"/>
      <c r="C271" s="80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</row>
    <row r="272" spans="1:39" s="9" customFormat="1" ht="12.75">
      <c r="A272" s="14"/>
      <c r="B272" s="11"/>
      <c r="C272" s="80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</row>
    <row r="273" spans="1:39" s="9" customFormat="1" ht="12.75">
      <c r="A273" s="14"/>
      <c r="B273" s="11"/>
      <c r="C273" s="80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</row>
    <row r="274" spans="1:39" s="9" customFormat="1" ht="12.75">
      <c r="A274" s="14"/>
      <c r="B274" s="11"/>
      <c r="C274" s="80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</row>
    <row r="275" spans="1:39" s="9" customFormat="1" ht="12.75">
      <c r="A275" s="14"/>
      <c r="B275" s="11"/>
      <c r="C275" s="80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</row>
    <row r="276" spans="1:39" s="9" customFormat="1" ht="12.75">
      <c r="A276" s="14"/>
      <c r="B276" s="11"/>
      <c r="C276" s="80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</row>
    <row r="277" spans="1:39" s="9" customFormat="1" ht="12.75">
      <c r="A277" s="14"/>
      <c r="B277" s="11"/>
      <c r="C277" s="80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</row>
    <row r="278" spans="1:39" s="9" customFormat="1" ht="12.75">
      <c r="A278" s="14"/>
      <c r="B278" s="11"/>
      <c r="C278" s="80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</row>
    <row r="279" spans="1:39" s="9" customFormat="1" ht="12.75">
      <c r="A279" s="14"/>
      <c r="B279" s="11"/>
      <c r="C279" s="80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</row>
    <row r="280" spans="1:39" s="9" customFormat="1" ht="12.75">
      <c r="A280" s="14"/>
      <c r="B280" s="11"/>
      <c r="C280" s="80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</row>
    <row r="281" spans="1:39" s="9" customFormat="1" ht="12.75">
      <c r="A281" s="14"/>
      <c r="B281" s="11"/>
      <c r="C281" s="80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</row>
    <row r="282" spans="1:39" s="9" customFormat="1" ht="12.75">
      <c r="A282" s="14"/>
      <c r="B282" s="11"/>
      <c r="C282" s="80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</row>
    <row r="283" spans="1:39" s="9" customFormat="1" ht="12.75">
      <c r="A283" s="14"/>
      <c r="B283" s="11"/>
      <c r="C283" s="80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</row>
    <row r="284" spans="1:39" s="9" customFormat="1" ht="12.75">
      <c r="A284" s="14"/>
      <c r="B284" s="11"/>
      <c r="C284" s="80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</row>
    <row r="285" spans="1:39" s="9" customFormat="1" ht="12.75">
      <c r="A285" s="14"/>
      <c r="B285" s="11"/>
      <c r="C285" s="80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</row>
    <row r="286" spans="1:39" s="9" customFormat="1" ht="12.75">
      <c r="A286" s="14"/>
      <c r="B286" s="11"/>
      <c r="C286" s="80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</row>
    <row r="287" spans="1:39" s="9" customFormat="1" ht="12.75">
      <c r="A287" s="14"/>
      <c r="B287" s="11"/>
      <c r="C287" s="80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</row>
    <row r="288" spans="1:39" s="9" customFormat="1" ht="12.75">
      <c r="A288" s="14"/>
      <c r="B288" s="11"/>
      <c r="C288" s="80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</row>
    <row r="289" spans="1:39" s="9" customFormat="1" ht="12.75">
      <c r="A289" s="14"/>
      <c r="B289" s="11"/>
      <c r="C289" s="80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</row>
    <row r="290" spans="1:39" s="9" customFormat="1" ht="12.75">
      <c r="A290" s="14"/>
      <c r="B290" s="11"/>
      <c r="C290" s="80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</row>
    <row r="291" spans="1:39" s="9" customFormat="1" ht="12.75">
      <c r="A291" s="14"/>
      <c r="B291" s="11"/>
      <c r="C291" s="80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</row>
    <row r="292" spans="1:39" s="9" customFormat="1" ht="12.75">
      <c r="A292" s="14"/>
      <c r="B292" s="11"/>
      <c r="C292" s="80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</row>
    <row r="293" spans="1:39" s="9" customFormat="1" ht="12.75">
      <c r="A293" s="14"/>
      <c r="B293" s="11"/>
      <c r="C293" s="80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</row>
    <row r="294" spans="1:39" s="9" customFormat="1" ht="12.75">
      <c r="A294" s="14"/>
      <c r="B294" s="11"/>
      <c r="C294" s="80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</row>
    <row r="295" spans="1:39" s="9" customFormat="1" ht="12.75">
      <c r="A295" s="14"/>
      <c r="B295" s="11"/>
      <c r="C295" s="80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</row>
    <row r="296" spans="1:39" s="9" customFormat="1" ht="12.75">
      <c r="A296" s="14"/>
      <c r="B296" s="11"/>
      <c r="C296" s="80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</row>
    <row r="297" spans="1:39" s="9" customFormat="1" ht="12.75">
      <c r="A297" s="14"/>
      <c r="B297" s="11"/>
      <c r="C297" s="80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</row>
    <row r="298" spans="1:39" s="9" customFormat="1" ht="12.75">
      <c r="A298" s="14"/>
      <c r="B298" s="11"/>
      <c r="C298" s="80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</row>
    <row r="299" spans="1:39" s="9" customFormat="1" ht="12.75">
      <c r="A299" s="14"/>
      <c r="B299" s="11"/>
      <c r="C299" s="80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</row>
    <row r="300" spans="1:39" s="9" customFormat="1" ht="12.75">
      <c r="A300" s="14"/>
      <c r="B300" s="11"/>
      <c r="C300" s="80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</row>
    <row r="301" spans="1:39" s="9" customFormat="1" ht="12.75">
      <c r="A301" s="14"/>
      <c r="B301" s="11"/>
      <c r="C301" s="80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</row>
    <row r="302" spans="1:39" s="9" customFormat="1" ht="12.75">
      <c r="A302" s="14"/>
      <c r="B302" s="11"/>
      <c r="C302" s="80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</row>
    <row r="303" spans="1:39" s="9" customFormat="1" ht="12.75">
      <c r="A303" s="14"/>
      <c r="B303" s="11"/>
      <c r="C303" s="80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</row>
    <row r="304" spans="1:39" s="9" customFormat="1" ht="12.75">
      <c r="A304" s="14"/>
      <c r="B304" s="11"/>
      <c r="C304" s="80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</row>
    <row r="305" spans="1:39" s="9" customFormat="1" ht="12.75">
      <c r="A305" s="14"/>
      <c r="B305" s="11"/>
      <c r="C305" s="80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</row>
    <row r="306" spans="1:39" s="9" customFormat="1" ht="12.75">
      <c r="A306" s="14"/>
      <c r="B306" s="11"/>
      <c r="C306" s="80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</row>
    <row r="307" spans="1:39" s="9" customFormat="1" ht="12.75">
      <c r="A307" s="14"/>
      <c r="B307" s="11"/>
      <c r="C307" s="80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</row>
    <row r="308" spans="1:39" s="9" customFormat="1" ht="12.75">
      <c r="A308" s="14"/>
      <c r="B308" s="11"/>
      <c r="C308" s="80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</row>
    <row r="309" spans="1:39" s="9" customFormat="1" ht="12.75">
      <c r="A309" s="14"/>
      <c r="B309" s="11"/>
      <c r="C309" s="80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</row>
    <row r="310" spans="1:39" s="9" customFormat="1" ht="12.75">
      <c r="A310" s="14"/>
      <c r="B310" s="11"/>
      <c r="C310" s="80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</row>
    <row r="311" spans="1:39" s="9" customFormat="1" ht="12.75">
      <c r="A311" s="14"/>
      <c r="B311" s="11"/>
      <c r="C311" s="80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</row>
    <row r="312" spans="1:39" s="9" customFormat="1" ht="12.75">
      <c r="A312" s="14"/>
      <c r="B312" s="11"/>
      <c r="C312" s="80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</row>
    <row r="313" spans="1:39" s="9" customFormat="1" ht="12.75">
      <c r="A313" s="14"/>
      <c r="B313" s="11"/>
      <c r="C313" s="80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</row>
    <row r="314" spans="1:39" s="9" customFormat="1" ht="12.75">
      <c r="A314" s="14"/>
      <c r="B314" s="11"/>
      <c r="C314" s="80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</row>
    <row r="315" spans="1:39" s="9" customFormat="1" ht="12.75">
      <c r="A315" s="14"/>
      <c r="B315" s="11"/>
      <c r="C315" s="80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</row>
    <row r="316" spans="1:39" s="9" customFormat="1" ht="12.75">
      <c r="A316" s="14"/>
      <c r="B316" s="11"/>
      <c r="C316" s="80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</row>
    <row r="317" spans="1:39" s="9" customFormat="1" ht="12.75">
      <c r="A317" s="14"/>
      <c r="B317" s="11"/>
      <c r="C317" s="80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</row>
    <row r="318" spans="1:39" s="9" customFormat="1" ht="12.75">
      <c r="A318" s="14"/>
      <c r="B318" s="11"/>
      <c r="C318" s="80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</row>
    <row r="319" spans="1:39" s="9" customFormat="1" ht="12.75">
      <c r="A319" s="14"/>
      <c r="B319" s="11"/>
      <c r="C319" s="80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</row>
    <row r="320" spans="1:39" s="9" customFormat="1" ht="12.75">
      <c r="A320" s="14"/>
      <c r="B320" s="11"/>
      <c r="C320" s="80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</row>
    <row r="321" spans="1:39" s="9" customFormat="1" ht="12.75">
      <c r="A321" s="14"/>
      <c r="B321" s="11"/>
      <c r="C321" s="80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</row>
    <row r="322" spans="1:39" s="9" customFormat="1" ht="12.75">
      <c r="A322" s="14"/>
      <c r="B322" s="11"/>
      <c r="C322" s="80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</row>
    <row r="323" spans="1:39" s="9" customFormat="1" ht="12.75">
      <c r="A323" s="14"/>
      <c r="B323" s="11"/>
      <c r="C323" s="80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</row>
    <row r="324" spans="1:39" s="9" customFormat="1" ht="12.75">
      <c r="A324" s="14"/>
      <c r="B324" s="11"/>
      <c r="C324" s="80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</row>
    <row r="325" spans="1:39" s="9" customFormat="1" ht="12.75">
      <c r="A325" s="14"/>
      <c r="B325" s="11"/>
      <c r="C325" s="80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</row>
    <row r="326" spans="1:39" s="9" customFormat="1" ht="12.75">
      <c r="A326" s="14"/>
      <c r="B326" s="11"/>
      <c r="C326" s="80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</row>
    <row r="327" spans="1:39" s="9" customFormat="1" ht="12.75">
      <c r="A327" s="14"/>
      <c r="B327" s="11"/>
      <c r="C327" s="80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</row>
    <row r="328" spans="1:39" s="9" customFormat="1" ht="12.75">
      <c r="A328" s="14"/>
      <c r="B328" s="11"/>
      <c r="C328" s="80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</row>
    <row r="329" spans="1:39" s="9" customFormat="1" ht="12.75">
      <c r="A329" s="14"/>
      <c r="B329" s="11"/>
      <c r="C329" s="80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</row>
    <row r="330" spans="1:39" s="9" customFormat="1" ht="12.75">
      <c r="A330" s="14"/>
      <c r="B330" s="11"/>
      <c r="C330" s="80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</row>
    <row r="331" spans="1:39" s="9" customFormat="1" ht="12.75">
      <c r="A331" s="14"/>
      <c r="B331" s="11"/>
      <c r="C331" s="80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</row>
    <row r="332" spans="1:39" s="9" customFormat="1" ht="12.75">
      <c r="A332" s="14"/>
      <c r="B332" s="11"/>
      <c r="C332" s="80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</row>
    <row r="333" spans="1:39" s="9" customFormat="1" ht="12.75">
      <c r="A333" s="14"/>
      <c r="B333" s="11"/>
      <c r="C333" s="80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</row>
    <row r="334" spans="1:39" s="9" customFormat="1" ht="12.75">
      <c r="A334" s="14"/>
      <c r="B334" s="11"/>
      <c r="C334" s="80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</row>
    <row r="335" spans="1:39" s="9" customFormat="1" ht="12.75">
      <c r="A335" s="14"/>
      <c r="B335" s="11"/>
      <c r="C335" s="80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</row>
    <row r="336" spans="1:39" s="9" customFormat="1" ht="12.75">
      <c r="A336" s="14"/>
      <c r="B336" s="11"/>
      <c r="C336" s="80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</row>
    <row r="337" spans="1:39" s="9" customFormat="1" ht="12.75">
      <c r="A337" s="14"/>
      <c r="B337" s="11"/>
      <c r="C337" s="80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</row>
    <row r="338" spans="1:39" s="9" customFormat="1" ht="12.75">
      <c r="A338" s="14"/>
      <c r="B338" s="11"/>
      <c r="C338" s="80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</row>
    <row r="339" spans="1:39" s="9" customFormat="1" ht="12.75">
      <c r="A339" s="14"/>
      <c r="B339" s="11"/>
      <c r="C339" s="80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</row>
    <row r="340" spans="1:39" s="9" customFormat="1" ht="12.75">
      <c r="A340" s="14"/>
      <c r="B340" s="11"/>
      <c r="C340" s="80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</row>
    <row r="341" spans="1:39" s="9" customFormat="1" ht="12.75">
      <c r="A341" s="14"/>
      <c r="B341" s="11"/>
      <c r="C341" s="80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</row>
    <row r="342" spans="1:39" s="9" customFormat="1" ht="12.75">
      <c r="A342" s="14"/>
      <c r="B342" s="11"/>
      <c r="C342" s="80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</row>
    <row r="343" spans="1:39" s="9" customFormat="1" ht="12.75">
      <c r="A343" s="14"/>
      <c r="B343" s="11"/>
      <c r="C343" s="80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</row>
    <row r="344" spans="1:39" s="9" customFormat="1" ht="12.75">
      <c r="A344" s="14"/>
      <c r="B344" s="11"/>
      <c r="C344" s="80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</row>
    <row r="345" spans="1:39" s="9" customFormat="1" ht="12.75">
      <c r="A345" s="14"/>
      <c r="B345" s="11"/>
      <c r="C345" s="80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</row>
    <row r="346" spans="1:39" s="9" customFormat="1" ht="12.75">
      <c r="A346" s="14"/>
      <c r="B346" s="11"/>
      <c r="C346" s="80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</row>
    <row r="347" spans="1:39" s="9" customFormat="1" ht="12.75">
      <c r="A347" s="14"/>
      <c r="B347" s="11"/>
      <c r="C347" s="80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</row>
    <row r="348" spans="1:39" s="9" customFormat="1" ht="12.75">
      <c r="A348" s="14"/>
      <c r="B348" s="11"/>
      <c r="C348" s="80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</row>
    <row r="349" spans="1:39" s="9" customFormat="1" ht="12.75">
      <c r="A349" s="14"/>
      <c r="B349" s="11"/>
      <c r="C349" s="80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</row>
    <row r="350" spans="1:39" s="9" customFormat="1" ht="12.75">
      <c r="A350" s="14"/>
      <c r="B350" s="11"/>
      <c r="C350" s="80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</row>
    <row r="351" spans="1:39" s="9" customFormat="1" ht="12.75">
      <c r="A351" s="14"/>
      <c r="B351" s="11"/>
      <c r="C351" s="80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</row>
    <row r="352" spans="1:39" s="9" customFormat="1" ht="12.75">
      <c r="A352" s="14"/>
      <c r="B352" s="11"/>
      <c r="C352" s="80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</row>
    <row r="353" spans="1:39" s="9" customFormat="1" ht="12.75">
      <c r="A353" s="14"/>
      <c r="B353" s="11"/>
      <c r="C353" s="80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</row>
    <row r="354" spans="1:39" s="9" customFormat="1" ht="12.75">
      <c r="A354" s="14"/>
      <c r="B354" s="11"/>
      <c r="C354" s="80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</row>
    <row r="355" spans="1:39" s="9" customFormat="1" ht="12.75">
      <c r="A355" s="14"/>
      <c r="B355" s="11"/>
      <c r="C355" s="80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</row>
    <row r="356" spans="1:39" s="9" customFormat="1" ht="12.75">
      <c r="A356" s="14"/>
      <c r="B356" s="11"/>
      <c r="C356" s="80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</row>
    <row r="357" spans="1:39" s="9" customFormat="1" ht="12.75">
      <c r="A357" s="14"/>
      <c r="B357" s="11"/>
      <c r="C357" s="80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</row>
    <row r="358" spans="1:39" s="9" customFormat="1" ht="12.75">
      <c r="A358" s="14"/>
      <c r="B358" s="11"/>
      <c r="C358" s="80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</row>
    <row r="359" spans="1:39" s="9" customFormat="1" ht="12.75">
      <c r="A359" s="14"/>
      <c r="B359" s="11"/>
      <c r="C359" s="80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</row>
    <row r="360" spans="1:39" s="9" customFormat="1" ht="12.75">
      <c r="A360" s="14"/>
      <c r="B360" s="11"/>
      <c r="C360" s="80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</row>
    <row r="361" spans="1:39" s="9" customFormat="1" ht="12.75">
      <c r="A361" s="14"/>
      <c r="B361" s="11"/>
      <c r="C361" s="80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</row>
    <row r="362" spans="1:39" s="9" customFormat="1" ht="12.75">
      <c r="A362" s="14"/>
      <c r="B362" s="11"/>
      <c r="C362" s="80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</row>
    <row r="363" spans="1:39" s="9" customFormat="1" ht="12.75">
      <c r="A363" s="14"/>
      <c r="B363" s="11"/>
      <c r="C363" s="80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</row>
    <row r="364" spans="1:39" s="9" customFormat="1" ht="12.75">
      <c r="A364" s="14"/>
      <c r="B364" s="11"/>
      <c r="C364" s="80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</row>
    <row r="365" spans="1:39" s="9" customFormat="1" ht="12.75">
      <c r="A365" s="14"/>
      <c r="B365" s="11"/>
      <c r="C365" s="80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</row>
    <row r="366" spans="1:39" s="9" customFormat="1" ht="12.75">
      <c r="A366" s="14"/>
      <c r="B366" s="11"/>
      <c r="C366" s="80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</row>
    <row r="367" spans="1:39" s="9" customFormat="1" ht="12.75">
      <c r="A367" s="14"/>
      <c r="B367" s="11"/>
      <c r="C367" s="80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</row>
    <row r="368" spans="1:39" s="9" customFormat="1" ht="12.75">
      <c r="A368" s="14"/>
      <c r="B368" s="11"/>
      <c r="C368" s="80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</row>
    <row r="369" spans="1:39" s="9" customFormat="1" ht="12.75">
      <c r="A369" s="14"/>
      <c r="B369" s="11"/>
      <c r="C369" s="80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</row>
    <row r="370" spans="1:39" s="9" customFormat="1" ht="12.75">
      <c r="A370" s="14"/>
      <c r="B370" s="11"/>
      <c r="C370" s="80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</row>
    <row r="371" spans="1:39" s="9" customFormat="1" ht="12.75">
      <c r="A371" s="14"/>
      <c r="B371" s="11"/>
      <c r="C371" s="80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</row>
    <row r="372" spans="1:39" s="9" customFormat="1" ht="12.75">
      <c r="A372" s="14"/>
      <c r="B372" s="11"/>
      <c r="C372" s="80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</row>
    <row r="373" spans="1:39" s="9" customFormat="1" ht="12.75">
      <c r="A373" s="14"/>
      <c r="B373" s="11"/>
      <c r="C373" s="80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</row>
    <row r="374" spans="1:39" s="9" customFormat="1" ht="12.75">
      <c r="A374" s="14"/>
      <c r="B374" s="11"/>
      <c r="C374" s="80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</row>
    <row r="375" spans="1:39" s="9" customFormat="1" ht="12.75">
      <c r="A375" s="14"/>
      <c r="B375" s="11"/>
      <c r="C375" s="80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</row>
    <row r="376" spans="1:39" s="9" customFormat="1" ht="12.75">
      <c r="A376" s="14"/>
      <c r="B376" s="11"/>
      <c r="C376" s="80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</row>
    <row r="377" spans="1:39" s="9" customFormat="1" ht="12.75">
      <c r="A377" s="14"/>
      <c r="B377" s="11"/>
      <c r="C377" s="80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</row>
    <row r="378" spans="1:39" s="9" customFormat="1" ht="12.75">
      <c r="A378" s="14"/>
      <c r="B378" s="11"/>
      <c r="C378" s="80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</row>
    <row r="379" spans="1:39" s="9" customFormat="1" ht="12.75">
      <c r="A379" s="14"/>
      <c r="B379" s="11"/>
      <c r="C379" s="80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</row>
    <row r="380" spans="1:39" s="9" customFormat="1" ht="12.75">
      <c r="A380" s="14"/>
      <c r="B380" s="11"/>
      <c r="C380" s="80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</row>
    <row r="381" spans="1:39" s="9" customFormat="1" ht="12.75">
      <c r="A381" s="14"/>
      <c r="B381" s="11"/>
      <c r="C381" s="80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</row>
    <row r="382" spans="1:39" s="9" customFormat="1" ht="12.75">
      <c r="A382" s="14"/>
      <c r="B382" s="11"/>
      <c r="C382" s="80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</row>
    <row r="383" spans="1:39" s="9" customFormat="1" ht="12.75">
      <c r="A383" s="14"/>
      <c r="B383" s="11"/>
      <c r="C383" s="80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</row>
    <row r="384" spans="1:39" s="9" customFormat="1" ht="12.75">
      <c r="A384" s="14"/>
      <c r="B384" s="11"/>
      <c r="C384" s="80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</row>
    <row r="385" spans="1:39" s="9" customFormat="1" ht="12.75">
      <c r="A385" s="14"/>
      <c r="B385" s="11"/>
      <c r="C385" s="80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</row>
    <row r="386" spans="1:39" s="9" customFormat="1" ht="12.75">
      <c r="A386" s="14"/>
      <c r="B386" s="11"/>
      <c r="C386" s="80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</row>
    <row r="387" spans="1:39" s="9" customFormat="1" ht="12.75">
      <c r="A387" s="14"/>
      <c r="B387" s="11"/>
      <c r="C387" s="80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</row>
    <row r="388" spans="1:39" s="9" customFormat="1" ht="12.75">
      <c r="A388" s="14"/>
      <c r="B388" s="11"/>
      <c r="C388" s="80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</row>
    <row r="389" spans="1:39" s="9" customFormat="1" ht="12.75">
      <c r="A389" s="14"/>
      <c r="B389" s="11"/>
      <c r="C389" s="80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</row>
    <row r="390" spans="1:39" s="9" customFormat="1" ht="12.75">
      <c r="A390" s="14"/>
      <c r="B390" s="11"/>
      <c r="C390" s="80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</row>
    <row r="391" spans="1:39" s="9" customFormat="1" ht="12.75">
      <c r="A391" s="14"/>
      <c r="B391" s="11"/>
      <c r="C391" s="80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</row>
    <row r="392" spans="1:39" s="9" customFormat="1" ht="12.75">
      <c r="A392" s="14"/>
      <c r="B392" s="11"/>
      <c r="C392" s="80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</row>
    <row r="393" spans="1:39" s="9" customFormat="1" ht="12.75">
      <c r="A393" s="14"/>
      <c r="B393" s="11"/>
      <c r="C393" s="80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</row>
    <row r="394" spans="1:39" s="9" customFormat="1" ht="12.75">
      <c r="A394" s="14"/>
      <c r="B394" s="11"/>
      <c r="C394" s="80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</row>
    <row r="395" spans="1:39" s="9" customFormat="1" ht="12.75">
      <c r="A395" s="14"/>
      <c r="B395" s="11"/>
      <c r="C395" s="80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</row>
    <row r="396" spans="1:39" s="9" customFormat="1" ht="12.75">
      <c r="A396" s="14"/>
      <c r="B396" s="11"/>
      <c r="C396" s="80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</row>
    <row r="397" spans="1:39" s="9" customFormat="1" ht="12.75">
      <c r="A397" s="14"/>
      <c r="B397" s="11"/>
      <c r="C397" s="80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</row>
    <row r="398" spans="1:39" s="9" customFormat="1" ht="12.75">
      <c r="A398" s="14"/>
      <c r="B398" s="11"/>
      <c r="C398" s="80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</row>
    <row r="399" spans="1:39" s="9" customFormat="1" ht="12.75">
      <c r="A399" s="14"/>
      <c r="B399" s="11"/>
      <c r="C399" s="80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</row>
    <row r="400" spans="1:39" s="9" customFormat="1" ht="12.75">
      <c r="A400" s="14"/>
      <c r="B400" s="11"/>
      <c r="C400" s="80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</row>
    <row r="401" spans="1:39" s="9" customFormat="1" ht="12.75">
      <c r="A401" s="14"/>
      <c r="B401" s="11"/>
      <c r="C401" s="80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</row>
    <row r="402" spans="1:39" s="9" customFormat="1" ht="12.75">
      <c r="A402" s="14"/>
      <c r="B402" s="11"/>
      <c r="C402" s="80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</row>
    <row r="403" spans="1:39" s="9" customFormat="1" ht="12.75">
      <c r="A403" s="14"/>
      <c r="B403" s="11"/>
      <c r="C403" s="80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</row>
    <row r="404" spans="2:39" s="9" customFormat="1" ht="12.75">
      <c r="B404" s="11"/>
      <c r="C404" s="80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</row>
    <row r="405" spans="2:39" s="9" customFormat="1" ht="12.75">
      <c r="B405" s="11"/>
      <c r="C405" s="80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</row>
    <row r="406" spans="2:39" s="9" customFormat="1" ht="12.75">
      <c r="B406" s="11"/>
      <c r="C406" s="80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</row>
    <row r="407" spans="2:39" s="9" customFormat="1" ht="12.75">
      <c r="B407" s="11"/>
      <c r="C407" s="80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</row>
    <row r="408" spans="2:39" s="9" customFormat="1" ht="12.75">
      <c r="B408" s="11"/>
      <c r="C408" s="80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</row>
    <row r="409" spans="2:39" s="9" customFormat="1" ht="12.75">
      <c r="B409" s="11"/>
      <c r="C409" s="80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</row>
    <row r="410" spans="2:39" s="9" customFormat="1" ht="12.75">
      <c r="B410" s="11"/>
      <c r="C410" s="80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</row>
    <row r="411" spans="2:39" s="9" customFormat="1" ht="12.75">
      <c r="B411" s="11"/>
      <c r="C411" s="80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</row>
    <row r="412" spans="2:39" s="9" customFormat="1" ht="12.75">
      <c r="B412" s="11"/>
      <c r="C412" s="80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</row>
    <row r="413" spans="2:39" s="9" customFormat="1" ht="12.75">
      <c r="B413" s="11"/>
      <c r="C413" s="80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</row>
    <row r="414" spans="2:39" s="9" customFormat="1" ht="12.75">
      <c r="B414" s="11"/>
      <c r="C414" s="80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</row>
    <row r="415" spans="2:39" s="9" customFormat="1" ht="12.75">
      <c r="B415" s="11"/>
      <c r="C415" s="80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</row>
    <row r="416" spans="2:39" s="9" customFormat="1" ht="12.75">
      <c r="B416" s="11"/>
      <c r="C416" s="80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</row>
    <row r="417" spans="2:39" s="9" customFormat="1" ht="12.75">
      <c r="B417" s="11"/>
      <c r="C417" s="80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</row>
    <row r="418" spans="2:39" s="9" customFormat="1" ht="12.75">
      <c r="B418" s="11"/>
      <c r="C418" s="80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</row>
    <row r="419" spans="2:39" s="9" customFormat="1" ht="12.75">
      <c r="B419" s="11"/>
      <c r="C419" s="80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</row>
    <row r="420" spans="2:39" s="9" customFormat="1" ht="12.75">
      <c r="B420" s="11"/>
      <c r="C420" s="80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</row>
    <row r="421" spans="2:39" s="9" customFormat="1" ht="12.75">
      <c r="B421" s="11"/>
      <c r="C421" s="80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</row>
    <row r="422" spans="2:39" s="9" customFormat="1" ht="12.75">
      <c r="B422" s="11"/>
      <c r="C422" s="80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</row>
    <row r="423" spans="2:39" s="9" customFormat="1" ht="12.75">
      <c r="B423" s="11"/>
      <c r="C423" s="80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</row>
    <row r="424" spans="2:39" s="9" customFormat="1" ht="12.75">
      <c r="B424" s="11"/>
      <c r="C424" s="80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</row>
    <row r="425" spans="2:39" s="9" customFormat="1" ht="12.75">
      <c r="B425" s="11"/>
      <c r="C425" s="80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</row>
    <row r="426" spans="2:39" s="9" customFormat="1" ht="12.75">
      <c r="B426" s="11"/>
      <c r="C426" s="80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</row>
    <row r="427" spans="2:39" s="9" customFormat="1" ht="12.75">
      <c r="B427" s="11"/>
      <c r="C427" s="80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</row>
    <row r="428" spans="2:39" s="9" customFormat="1" ht="12.75">
      <c r="B428" s="11"/>
      <c r="C428" s="80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</row>
    <row r="429" spans="2:39" s="9" customFormat="1" ht="12.75">
      <c r="B429" s="11"/>
      <c r="C429" s="80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</row>
    <row r="430" spans="2:39" s="9" customFormat="1" ht="12.75">
      <c r="B430" s="11"/>
      <c r="C430" s="80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</row>
    <row r="431" spans="2:39" s="9" customFormat="1" ht="12.75">
      <c r="B431" s="11"/>
      <c r="C431" s="80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</row>
    <row r="432" spans="2:39" s="9" customFormat="1" ht="12.75">
      <c r="B432" s="11"/>
      <c r="C432" s="80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</row>
    <row r="433" spans="2:39" s="9" customFormat="1" ht="12.75">
      <c r="B433" s="11"/>
      <c r="C433" s="80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</row>
    <row r="434" spans="2:39" s="9" customFormat="1" ht="12.75">
      <c r="B434" s="11"/>
      <c r="C434" s="80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</row>
    <row r="435" spans="2:39" s="9" customFormat="1" ht="12.75">
      <c r="B435" s="11"/>
      <c r="C435" s="80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</row>
    <row r="436" spans="2:39" s="9" customFormat="1" ht="12.75">
      <c r="B436" s="11"/>
      <c r="C436" s="80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</row>
    <row r="437" spans="2:39" s="9" customFormat="1" ht="12.75">
      <c r="B437" s="11"/>
      <c r="C437" s="80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</row>
    <row r="438" spans="2:39" s="9" customFormat="1" ht="12.75">
      <c r="B438" s="11"/>
      <c r="C438" s="80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</row>
    <row r="439" spans="2:39" s="9" customFormat="1" ht="12.75">
      <c r="B439" s="11"/>
      <c r="C439" s="80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</row>
    <row r="440" spans="2:39" s="9" customFormat="1" ht="12.75">
      <c r="B440" s="11"/>
      <c r="C440" s="80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</row>
    <row r="441" spans="2:39" s="9" customFormat="1" ht="12.75">
      <c r="B441" s="11"/>
      <c r="C441" s="80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</row>
    <row r="442" spans="2:39" s="9" customFormat="1" ht="12.75">
      <c r="B442" s="11"/>
      <c r="C442" s="80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</row>
    <row r="443" spans="2:39" s="9" customFormat="1" ht="12.75">
      <c r="B443" s="11"/>
      <c r="C443" s="80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</row>
    <row r="444" spans="2:39" s="9" customFormat="1" ht="12.75">
      <c r="B444" s="11"/>
      <c r="C444" s="80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</row>
    <row r="445" spans="2:39" s="9" customFormat="1" ht="12.75">
      <c r="B445" s="11"/>
      <c r="C445" s="80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</row>
    <row r="446" spans="2:39" s="9" customFormat="1" ht="12.75">
      <c r="B446" s="11"/>
      <c r="C446" s="80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</row>
    <row r="447" spans="2:39" s="9" customFormat="1" ht="12.75">
      <c r="B447" s="11"/>
      <c r="C447" s="80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</row>
    <row r="448" spans="2:39" s="9" customFormat="1" ht="12.75">
      <c r="B448" s="11"/>
      <c r="C448" s="80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</row>
    <row r="449" spans="2:39" s="9" customFormat="1" ht="12.75">
      <c r="B449" s="11"/>
      <c r="C449" s="80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</row>
    <row r="450" spans="2:39" s="9" customFormat="1" ht="12.75">
      <c r="B450" s="11"/>
      <c r="C450" s="80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</row>
    <row r="451" spans="2:39" s="9" customFormat="1" ht="12.75">
      <c r="B451" s="11"/>
      <c r="C451" s="80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</row>
    <row r="452" spans="2:39" s="9" customFormat="1" ht="12.75">
      <c r="B452" s="11"/>
      <c r="C452" s="80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</row>
    <row r="453" spans="2:39" s="9" customFormat="1" ht="12.75">
      <c r="B453" s="11"/>
      <c r="C453" s="80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</row>
    <row r="454" spans="2:39" s="9" customFormat="1" ht="12.75">
      <c r="B454" s="11"/>
      <c r="C454" s="80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</row>
    <row r="455" spans="2:39" s="9" customFormat="1" ht="12.75">
      <c r="B455" s="11"/>
      <c r="C455" s="80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</row>
    <row r="456" spans="2:39" s="9" customFormat="1" ht="12.75">
      <c r="B456" s="11"/>
      <c r="C456" s="80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</row>
    <row r="457" spans="2:39" s="9" customFormat="1" ht="12.75">
      <c r="B457" s="11"/>
      <c r="C457" s="80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</row>
    <row r="458" spans="2:39" s="9" customFormat="1" ht="12.75">
      <c r="B458" s="11"/>
      <c r="C458" s="80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</row>
    <row r="459" spans="2:39" s="9" customFormat="1" ht="12.75">
      <c r="B459" s="11"/>
      <c r="C459" s="80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</row>
    <row r="460" spans="2:39" s="9" customFormat="1" ht="12.75">
      <c r="B460" s="11"/>
      <c r="C460" s="80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</row>
    <row r="461" spans="2:39" s="9" customFormat="1" ht="12.75">
      <c r="B461" s="11"/>
      <c r="C461" s="80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</row>
    <row r="462" spans="2:39" s="9" customFormat="1" ht="12.75">
      <c r="B462" s="11"/>
      <c r="C462" s="80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</row>
    <row r="463" spans="2:39" s="9" customFormat="1" ht="12.75">
      <c r="B463" s="11"/>
      <c r="C463" s="80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</row>
    <row r="464" spans="2:39" s="9" customFormat="1" ht="12.75">
      <c r="B464" s="11"/>
      <c r="C464" s="80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</row>
    <row r="465" spans="2:39" s="9" customFormat="1" ht="12.75">
      <c r="B465" s="11"/>
      <c r="C465" s="80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</row>
    <row r="466" spans="2:39" s="9" customFormat="1" ht="12.75">
      <c r="B466" s="11"/>
      <c r="C466" s="80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</row>
    <row r="467" spans="2:39" s="9" customFormat="1" ht="12.75">
      <c r="B467" s="11"/>
      <c r="C467" s="80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</row>
    <row r="468" spans="2:39" s="9" customFormat="1" ht="12.75">
      <c r="B468" s="11"/>
      <c r="C468" s="80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</row>
    <row r="469" spans="2:39" s="9" customFormat="1" ht="12.75">
      <c r="B469" s="11"/>
      <c r="C469" s="80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</row>
    <row r="470" spans="2:39" s="9" customFormat="1" ht="12.75">
      <c r="B470" s="11"/>
      <c r="C470" s="80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</row>
    <row r="471" spans="2:39" s="9" customFormat="1" ht="12.75">
      <c r="B471" s="11"/>
      <c r="C471" s="80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</row>
    <row r="472" spans="2:39" s="9" customFormat="1" ht="12.75">
      <c r="B472" s="11"/>
      <c r="C472" s="80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</row>
    <row r="473" spans="2:39" s="9" customFormat="1" ht="12.75">
      <c r="B473" s="11"/>
      <c r="C473" s="80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</row>
    <row r="474" spans="2:39" s="9" customFormat="1" ht="12.75">
      <c r="B474" s="11"/>
      <c r="C474" s="80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</row>
    <row r="475" spans="2:39" s="9" customFormat="1" ht="12.75">
      <c r="B475" s="11"/>
      <c r="C475" s="80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</row>
    <row r="476" spans="2:39" s="9" customFormat="1" ht="12.75">
      <c r="B476" s="11"/>
      <c r="C476" s="80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</row>
    <row r="477" spans="2:39" s="9" customFormat="1" ht="12.75">
      <c r="B477" s="11"/>
      <c r="C477" s="80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</row>
    <row r="478" spans="2:39" s="9" customFormat="1" ht="12.75">
      <c r="B478" s="11"/>
      <c r="C478" s="80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</row>
    <row r="479" spans="2:39" s="9" customFormat="1" ht="12.75">
      <c r="B479" s="11"/>
      <c r="C479" s="80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</row>
    <row r="480" spans="2:39" s="9" customFormat="1" ht="12.75">
      <c r="B480" s="11"/>
      <c r="C480" s="80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</row>
    <row r="481" spans="2:39" s="9" customFormat="1" ht="12.75">
      <c r="B481" s="11"/>
      <c r="C481" s="80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</row>
    <row r="482" spans="2:39" s="9" customFormat="1" ht="12.75">
      <c r="B482" s="11"/>
      <c r="C482" s="80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</row>
    <row r="483" spans="2:39" s="9" customFormat="1" ht="12.75">
      <c r="B483" s="11"/>
      <c r="C483" s="80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</row>
    <row r="484" spans="2:39" s="9" customFormat="1" ht="12.75">
      <c r="B484" s="11"/>
      <c r="C484" s="80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</row>
    <row r="485" spans="2:39" s="9" customFormat="1" ht="12.75">
      <c r="B485" s="11"/>
      <c r="C485" s="80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</row>
    <row r="486" spans="2:39" s="9" customFormat="1" ht="12.75">
      <c r="B486" s="11"/>
      <c r="C486" s="80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</row>
    <row r="487" spans="2:39" s="9" customFormat="1" ht="12.75">
      <c r="B487" s="11"/>
      <c r="C487" s="80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</row>
    <row r="488" spans="2:39" s="9" customFormat="1" ht="12.75">
      <c r="B488" s="11"/>
      <c r="C488" s="80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</row>
    <row r="489" spans="2:39" s="9" customFormat="1" ht="12.75">
      <c r="B489" s="11"/>
      <c r="C489" s="80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</row>
    <row r="490" spans="2:39" s="9" customFormat="1" ht="12.75">
      <c r="B490" s="11"/>
      <c r="C490" s="80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</row>
    <row r="491" spans="2:39" s="9" customFormat="1" ht="12.75">
      <c r="B491" s="11"/>
      <c r="C491" s="80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</row>
    <row r="492" spans="2:39" s="9" customFormat="1" ht="12.75">
      <c r="B492" s="11"/>
      <c r="C492" s="80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</row>
    <row r="493" spans="2:39" s="9" customFormat="1" ht="12.75">
      <c r="B493" s="11"/>
      <c r="C493" s="80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</row>
    <row r="494" spans="2:39" s="9" customFormat="1" ht="12.75">
      <c r="B494" s="11"/>
      <c r="C494" s="80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</row>
    <row r="495" spans="2:39" s="9" customFormat="1" ht="12.75">
      <c r="B495" s="11"/>
      <c r="C495" s="80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</row>
    <row r="496" spans="2:39" s="9" customFormat="1" ht="12.75">
      <c r="B496" s="11"/>
      <c r="C496" s="80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</row>
    <row r="497" spans="2:39" s="9" customFormat="1" ht="12.75">
      <c r="B497" s="11"/>
      <c r="C497" s="80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</row>
    <row r="498" spans="2:39" s="9" customFormat="1" ht="12.75">
      <c r="B498" s="11"/>
      <c r="C498" s="80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</row>
    <row r="499" spans="2:39" s="9" customFormat="1" ht="12.75">
      <c r="B499" s="11"/>
      <c r="C499" s="80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</row>
    <row r="500" spans="2:39" s="9" customFormat="1" ht="12.75">
      <c r="B500" s="11"/>
      <c r="C500" s="80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</row>
    <row r="501" spans="2:39" s="9" customFormat="1" ht="12.75">
      <c r="B501" s="11"/>
      <c r="C501" s="80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</row>
    <row r="502" spans="2:39" s="9" customFormat="1" ht="12.75">
      <c r="B502" s="11"/>
      <c r="C502" s="80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</row>
    <row r="503" spans="2:39" s="9" customFormat="1" ht="12.75">
      <c r="B503" s="11"/>
      <c r="C503" s="80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</row>
    <row r="504" spans="2:39" s="9" customFormat="1" ht="12.75">
      <c r="B504" s="11"/>
      <c r="C504" s="80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</row>
    <row r="505" spans="2:39" s="9" customFormat="1" ht="12.75">
      <c r="B505" s="11"/>
      <c r="C505" s="80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</row>
    <row r="506" spans="2:39" s="9" customFormat="1" ht="12.75">
      <c r="B506" s="11"/>
      <c r="C506" s="80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</row>
    <row r="507" spans="2:39" s="9" customFormat="1" ht="12.75">
      <c r="B507" s="11"/>
      <c r="C507" s="80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</row>
    <row r="508" spans="2:39" s="9" customFormat="1" ht="12.75">
      <c r="B508" s="11"/>
      <c r="C508" s="80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</row>
    <row r="509" spans="2:39" s="9" customFormat="1" ht="12.75">
      <c r="B509" s="11"/>
      <c r="C509" s="80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</row>
    <row r="510" spans="2:39" s="9" customFormat="1" ht="12.75">
      <c r="B510" s="11"/>
      <c r="C510" s="80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</row>
    <row r="511" spans="2:39" s="9" customFormat="1" ht="12.75">
      <c r="B511" s="11"/>
      <c r="C511" s="80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</row>
    <row r="512" spans="2:39" s="9" customFormat="1" ht="12.75">
      <c r="B512" s="11"/>
      <c r="C512" s="80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</row>
    <row r="513" spans="2:39" s="9" customFormat="1" ht="12.75">
      <c r="B513" s="11"/>
      <c r="C513" s="80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</row>
    <row r="514" spans="2:39" s="9" customFormat="1" ht="12.75">
      <c r="B514" s="11"/>
      <c r="C514" s="80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</row>
    <row r="515" spans="2:39" s="9" customFormat="1" ht="12.75">
      <c r="B515" s="11"/>
      <c r="C515" s="80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</row>
    <row r="516" spans="2:39" s="9" customFormat="1" ht="12.75">
      <c r="B516" s="11"/>
      <c r="C516" s="80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</row>
    <row r="517" spans="2:39" s="9" customFormat="1" ht="12.75">
      <c r="B517" s="11"/>
      <c r="C517" s="80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</row>
    <row r="518" spans="2:39" s="9" customFormat="1" ht="12.75">
      <c r="B518" s="11"/>
      <c r="C518" s="80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</row>
    <row r="519" spans="2:39" s="9" customFormat="1" ht="12.75">
      <c r="B519" s="11"/>
      <c r="C519" s="80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</row>
    <row r="520" spans="2:39" s="9" customFormat="1" ht="12.75">
      <c r="B520" s="11"/>
      <c r="C520" s="80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</row>
    <row r="521" spans="2:39" s="9" customFormat="1" ht="12.75">
      <c r="B521" s="11"/>
      <c r="C521" s="80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</row>
    <row r="522" spans="2:39" s="9" customFormat="1" ht="12.75">
      <c r="B522" s="11"/>
      <c r="C522" s="80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</row>
    <row r="523" spans="2:39" s="9" customFormat="1" ht="12.75">
      <c r="B523" s="11"/>
      <c r="C523" s="80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</row>
    <row r="524" spans="2:39" s="9" customFormat="1" ht="12.75">
      <c r="B524" s="11"/>
      <c r="C524" s="80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</row>
    <row r="525" spans="2:39" s="9" customFormat="1" ht="12.75">
      <c r="B525" s="11"/>
      <c r="C525" s="80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</row>
    <row r="526" spans="2:39" s="9" customFormat="1" ht="12.75">
      <c r="B526" s="11"/>
      <c r="C526" s="80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</row>
    <row r="527" spans="2:39" s="9" customFormat="1" ht="12.75">
      <c r="B527" s="11"/>
      <c r="C527" s="80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</row>
    <row r="528" spans="2:39" s="9" customFormat="1" ht="12.75">
      <c r="B528" s="11"/>
      <c r="C528" s="80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</row>
    <row r="529" spans="2:39" s="9" customFormat="1" ht="12.75">
      <c r="B529" s="11"/>
      <c r="C529" s="80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</row>
    <row r="530" spans="2:39" s="9" customFormat="1" ht="12.75">
      <c r="B530" s="11"/>
      <c r="C530" s="80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</row>
    <row r="531" spans="2:39" s="9" customFormat="1" ht="12.75">
      <c r="B531" s="11"/>
      <c r="C531" s="80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</row>
    <row r="532" spans="2:39" s="9" customFormat="1" ht="12.75">
      <c r="B532" s="11"/>
      <c r="C532" s="80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</row>
    <row r="533" spans="2:39" s="9" customFormat="1" ht="12.75">
      <c r="B533" s="11"/>
      <c r="C533" s="80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</row>
    <row r="534" spans="2:39" s="9" customFormat="1" ht="12.75">
      <c r="B534" s="11"/>
      <c r="C534" s="80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</row>
    <row r="535" spans="2:39" s="9" customFormat="1" ht="12.75">
      <c r="B535" s="11"/>
      <c r="C535" s="80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</row>
    <row r="536" spans="2:39" s="9" customFormat="1" ht="12.75">
      <c r="B536" s="11"/>
      <c r="C536" s="80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</row>
    <row r="537" spans="2:39" s="9" customFormat="1" ht="12.75">
      <c r="B537" s="11"/>
      <c r="C537" s="80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</row>
    <row r="538" spans="2:39" s="9" customFormat="1" ht="12.75">
      <c r="B538" s="11"/>
      <c r="C538" s="80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</row>
    <row r="539" spans="2:39" s="9" customFormat="1" ht="12.75">
      <c r="B539" s="11"/>
      <c r="C539" s="80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</row>
    <row r="540" spans="2:39" s="9" customFormat="1" ht="12.75">
      <c r="B540" s="11"/>
      <c r="C540" s="80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</row>
    <row r="541" spans="2:39" s="9" customFormat="1" ht="12.75">
      <c r="B541" s="11"/>
      <c r="C541" s="80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</row>
    <row r="542" spans="2:39" s="9" customFormat="1" ht="12.75">
      <c r="B542" s="11"/>
      <c r="C542" s="80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</row>
    <row r="543" spans="2:39" s="9" customFormat="1" ht="12.75">
      <c r="B543" s="11"/>
      <c r="C543" s="80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</row>
    <row r="544" spans="2:39" s="9" customFormat="1" ht="12.75">
      <c r="B544" s="11"/>
      <c r="C544" s="80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</row>
    <row r="545" spans="2:39" s="9" customFormat="1" ht="12.75">
      <c r="B545" s="11"/>
      <c r="C545" s="80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</row>
    <row r="546" spans="2:39" s="9" customFormat="1" ht="12.75">
      <c r="B546" s="11"/>
      <c r="C546" s="80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</row>
    <row r="547" spans="2:39" s="9" customFormat="1" ht="12.75">
      <c r="B547" s="11"/>
      <c r="C547" s="80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</row>
    <row r="548" spans="2:39" s="9" customFormat="1" ht="12.75">
      <c r="B548" s="11"/>
      <c r="C548" s="80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</row>
    <row r="549" spans="2:39" s="9" customFormat="1" ht="12.75">
      <c r="B549" s="11"/>
      <c r="C549" s="80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</row>
    <row r="550" spans="2:39" s="9" customFormat="1" ht="12.75">
      <c r="B550" s="11"/>
      <c r="C550" s="80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</row>
    <row r="551" spans="2:39" s="9" customFormat="1" ht="12.75">
      <c r="B551" s="11"/>
      <c r="C551" s="80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</row>
    <row r="552" spans="2:39" s="9" customFormat="1" ht="12.75">
      <c r="B552" s="11"/>
      <c r="C552" s="80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</row>
    <row r="553" spans="2:39" s="9" customFormat="1" ht="12.75">
      <c r="B553" s="11"/>
      <c r="C553" s="80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</row>
    <row r="554" spans="2:39" s="9" customFormat="1" ht="12.75">
      <c r="B554" s="11"/>
      <c r="C554" s="80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</row>
    <row r="555" spans="2:39" s="9" customFormat="1" ht="12.75">
      <c r="B555" s="11"/>
      <c r="C555" s="80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</row>
    <row r="556" spans="2:39" s="9" customFormat="1" ht="12.75">
      <c r="B556" s="11"/>
      <c r="C556" s="80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</row>
    <row r="557" spans="2:39" s="9" customFormat="1" ht="12.75">
      <c r="B557" s="11"/>
      <c r="C557" s="80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</row>
    <row r="558" spans="2:39" s="9" customFormat="1" ht="12.75">
      <c r="B558" s="11"/>
      <c r="C558" s="80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</row>
    <row r="559" spans="2:39" s="9" customFormat="1" ht="12.75">
      <c r="B559" s="11"/>
      <c r="C559" s="80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</row>
    <row r="560" spans="2:39" s="9" customFormat="1" ht="12.75">
      <c r="B560" s="11"/>
      <c r="C560" s="80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</row>
    <row r="561" spans="2:39" s="9" customFormat="1" ht="12.75">
      <c r="B561" s="11"/>
      <c r="C561" s="80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</row>
    <row r="562" spans="2:39" s="9" customFormat="1" ht="12.75">
      <c r="B562" s="11"/>
      <c r="C562" s="80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</row>
    <row r="563" spans="2:39" s="9" customFormat="1" ht="12.75">
      <c r="B563" s="11"/>
      <c r="C563" s="80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</row>
    <row r="564" spans="2:39" s="9" customFormat="1" ht="12.75">
      <c r="B564" s="11"/>
      <c r="C564" s="80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</row>
    <row r="565" spans="2:39" s="9" customFormat="1" ht="12.75">
      <c r="B565" s="11"/>
      <c r="C565" s="80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</row>
    <row r="566" spans="2:39" s="9" customFormat="1" ht="12.75">
      <c r="B566" s="11"/>
      <c r="C566" s="80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</row>
    <row r="567" spans="2:39" s="9" customFormat="1" ht="12.75">
      <c r="B567" s="11"/>
      <c r="C567" s="80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</row>
    <row r="568" spans="2:39" s="9" customFormat="1" ht="12.75">
      <c r="B568" s="11"/>
      <c r="C568" s="80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</row>
    <row r="569" spans="2:39" s="9" customFormat="1" ht="12.75">
      <c r="B569" s="11"/>
      <c r="C569" s="80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</row>
    <row r="570" spans="2:39" s="9" customFormat="1" ht="12.75">
      <c r="B570" s="11"/>
      <c r="C570" s="80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</row>
    <row r="571" spans="2:39" s="9" customFormat="1" ht="12.75">
      <c r="B571" s="11"/>
      <c r="C571" s="80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</row>
    <row r="572" spans="2:39" s="9" customFormat="1" ht="12.75">
      <c r="B572" s="11"/>
      <c r="C572" s="80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</row>
    <row r="573" spans="2:39" s="9" customFormat="1" ht="12.75">
      <c r="B573" s="11"/>
      <c r="C573" s="80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</row>
    <row r="574" spans="2:39" s="9" customFormat="1" ht="12.75">
      <c r="B574" s="11"/>
      <c r="C574" s="80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</row>
    <row r="575" spans="2:39" s="9" customFormat="1" ht="12.75">
      <c r="B575" s="11"/>
      <c r="C575" s="80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</row>
    <row r="576" spans="2:39" s="9" customFormat="1" ht="12.75">
      <c r="B576" s="11"/>
      <c r="C576" s="80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</row>
    <row r="577" spans="2:39" s="9" customFormat="1" ht="12.75">
      <c r="B577" s="11"/>
      <c r="C577" s="80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</row>
  </sheetData>
  <mergeCells count="4">
    <mergeCell ref="C5:O5"/>
    <mergeCell ref="C63:O63"/>
    <mergeCell ref="A7:A58"/>
    <mergeCell ref="A65:A112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2008-11-11T08:09:24Z</cp:lastPrinted>
  <dcterms:created xsi:type="dcterms:W3CDTF">2006-02-24T09:38:25Z</dcterms:created>
  <dcterms:modified xsi:type="dcterms:W3CDTF">2010-04-12T10:16:42Z</dcterms:modified>
  <cp:category/>
  <cp:version/>
  <cp:contentType/>
  <cp:contentStatus/>
</cp:coreProperties>
</file>