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15" windowHeight="4260" tabRatio="601" activeTab="0"/>
  </bookViews>
  <sheets>
    <sheet name="7." sheetId="1" r:id="rId1"/>
    <sheet name="7.1" sheetId="2" r:id="rId2"/>
    <sheet name="7.1a" sheetId="3" r:id="rId3"/>
    <sheet name="7.1b" sheetId="4" r:id="rId4"/>
    <sheet name="7.1c" sheetId="5" r:id="rId5"/>
    <sheet name="7.2" sheetId="6" r:id="rId6"/>
    <sheet name="7.3" sheetId="7" r:id="rId7"/>
    <sheet name="7.4" sheetId="8" r:id="rId8"/>
    <sheet name="7.5" sheetId="9" r:id="rId9"/>
    <sheet name="7.6-7" sheetId="10" r:id="rId10"/>
    <sheet name="7.8" sheetId="11" r:id="rId11"/>
    <sheet name="7.9" sheetId="12" r:id="rId12"/>
    <sheet name="7.10" sheetId="13" r:id="rId13"/>
    <sheet name="7.11" sheetId="14" r:id="rId14"/>
    <sheet name="7.12-14" sheetId="15" r:id="rId15"/>
    <sheet name="7.15" sheetId="16" r:id="rId16"/>
    <sheet name="7.16-18" sheetId="17" r:id="rId17"/>
  </sheets>
  <definedNames/>
  <calcPr fullCalcOnLoad="1"/>
</workbook>
</file>

<file path=xl/sharedStrings.xml><?xml version="1.0" encoding="utf-8"?>
<sst xmlns="http://schemas.openxmlformats.org/spreadsheetml/2006/main" count="1313" uniqueCount="200">
  <si>
    <t>Total</t>
  </si>
  <si>
    <t>201-300</t>
  </si>
  <si>
    <t>Jan.</t>
  </si>
  <si>
    <t>Feb.</t>
  </si>
  <si>
    <t>March</t>
  </si>
  <si>
    <t>April</t>
  </si>
  <si>
    <t>May</t>
  </si>
  <si>
    <t>June</t>
  </si>
  <si>
    <t>July</t>
  </si>
  <si>
    <t>Aug.</t>
  </si>
  <si>
    <t>Sep.</t>
  </si>
  <si>
    <t>Oct.</t>
  </si>
  <si>
    <t>Nov.</t>
  </si>
  <si>
    <t>Dec.</t>
  </si>
  <si>
    <t>Total 2011</t>
  </si>
  <si>
    <t>Transactions</t>
  </si>
  <si>
    <t>Table made by CAS</t>
  </si>
  <si>
    <t>Beirut</t>
  </si>
  <si>
    <t>North Lebanon</t>
  </si>
  <si>
    <t>Tripoli</t>
  </si>
  <si>
    <t>Bekaa</t>
  </si>
  <si>
    <t>South Lebanon</t>
  </si>
  <si>
    <t>Nabatieh</t>
  </si>
  <si>
    <t>Order of Beirut</t>
  </si>
  <si>
    <t>Areas. sq. meters</t>
  </si>
  <si>
    <t>Order of Tripoli</t>
  </si>
  <si>
    <t>Mount-Lebanon</t>
  </si>
  <si>
    <t xml:space="preserve"> Other Regions</t>
  </si>
  <si>
    <t>Permits, Apartments, and areas in North-Lebanon</t>
  </si>
  <si>
    <t>Mina</t>
  </si>
  <si>
    <t>Annexes</t>
  </si>
  <si>
    <t>North-Lebanon</t>
  </si>
  <si>
    <t>Outside North-Lebanon</t>
  </si>
  <si>
    <t>Floor</t>
  </si>
  <si>
    <t>Apartment</t>
  </si>
  <si>
    <t>North Lebanon. Area. Square meters</t>
  </si>
  <si>
    <t>Outside North-Lebanon. Area. Square meters</t>
  </si>
  <si>
    <t>Permits all North Lebanon</t>
  </si>
  <si>
    <t>North-Lebanon. Area. Square meters</t>
  </si>
  <si>
    <t>Mohafazat</t>
  </si>
  <si>
    <t>Nabatiyeh</t>
  </si>
  <si>
    <t>January</t>
  </si>
  <si>
    <t>Febraury</t>
  </si>
  <si>
    <t>August</t>
  </si>
  <si>
    <t>September</t>
  </si>
  <si>
    <t>October</t>
  </si>
  <si>
    <t>November</t>
  </si>
  <si>
    <t>December</t>
  </si>
  <si>
    <t>Total 1996</t>
  </si>
  <si>
    <t>Total 1997</t>
  </si>
  <si>
    <t>Total 1998</t>
  </si>
  <si>
    <t>Total 1999</t>
  </si>
  <si>
    <t>Total 2000</t>
  </si>
  <si>
    <t>Total 2001</t>
  </si>
  <si>
    <t>Total 2002</t>
  </si>
  <si>
    <t>Total 2003</t>
  </si>
  <si>
    <t>Total 2004</t>
  </si>
  <si>
    <t>Total 2005</t>
  </si>
  <si>
    <t>Total 2006</t>
  </si>
  <si>
    <t>Total 2007</t>
  </si>
  <si>
    <t>Total 2008</t>
  </si>
  <si>
    <t>Total 2009</t>
  </si>
  <si>
    <t>Total 2010</t>
  </si>
  <si>
    <t>Source:  Order of Engineers - Beirut</t>
  </si>
  <si>
    <t>Transaction type</t>
  </si>
  <si>
    <t>Transactions of construction permits</t>
  </si>
  <si>
    <t>Declaration transactions</t>
  </si>
  <si>
    <t>Construction permit</t>
  </si>
  <si>
    <t>Constructing</t>
  </si>
  <si>
    <t>Constructing and construction</t>
  </si>
  <si>
    <t>Construction</t>
  </si>
  <si>
    <t>Construction and fence</t>
  </si>
  <si>
    <t>Addition</t>
  </si>
  <si>
    <t>Modification</t>
  </si>
  <si>
    <t>Addition and modification</t>
  </si>
  <si>
    <t>Modification and housing</t>
  </si>
  <si>
    <t>Settlement</t>
  </si>
  <si>
    <t>Settlement and housing</t>
  </si>
  <si>
    <t>Housing</t>
  </si>
  <si>
    <t>Investment</t>
  </si>
  <si>
    <t>Miscellaneous</t>
  </si>
  <si>
    <t>Statement permit</t>
  </si>
  <si>
    <t>Fence</t>
  </si>
  <si>
    <t>Demolition</t>
  </si>
  <si>
    <t>Excavation and consolidation</t>
  </si>
  <si>
    <t>Restoration</t>
  </si>
  <si>
    <t>Internal modification and restoration</t>
  </si>
  <si>
    <t>Restoration and housing</t>
  </si>
  <si>
    <t>Dwelling type</t>
  </si>
  <si>
    <t>Percentage</t>
  </si>
  <si>
    <t>Medium</t>
  </si>
  <si>
    <t>Good</t>
  </si>
  <si>
    <t>Luxurious</t>
  </si>
  <si>
    <t>Popular</t>
  </si>
  <si>
    <t>Simple/Services</t>
  </si>
  <si>
    <t>Average/Normal</t>
  </si>
  <si>
    <t>Demading/Luxury</t>
  </si>
  <si>
    <t>Complicated</t>
  </si>
  <si>
    <t>Transactions number</t>
  </si>
  <si>
    <t>Type of use</t>
  </si>
  <si>
    <t>Area. Sq. meter</t>
  </si>
  <si>
    <t>%</t>
  </si>
  <si>
    <t>Residential building</t>
  </si>
  <si>
    <t xml:space="preserve"> Trade building</t>
  </si>
  <si>
    <t>Tourism services buildings and hotels</t>
  </si>
  <si>
    <t>General services buildings (schools and hospitals, etc.)</t>
  </si>
  <si>
    <t>Economic services buildings (agriculture, industry)</t>
  </si>
  <si>
    <t>Miscellaneous uses</t>
  </si>
  <si>
    <t>Trade building</t>
  </si>
  <si>
    <t>Transaction number</t>
  </si>
  <si>
    <t>Show limits</t>
  </si>
  <si>
    <t>Levels</t>
  </si>
  <si>
    <t>Measurement</t>
  </si>
  <si>
    <t>Basing a construction</t>
  </si>
  <si>
    <t>Show limits and levels</t>
  </si>
  <si>
    <t>Show limits and measurements</t>
  </si>
  <si>
    <t>Show limits and base a construction</t>
  </si>
  <si>
    <t>Levels and measurements</t>
  </si>
  <si>
    <t>Basing a well</t>
  </si>
  <si>
    <t>Sorting</t>
  </si>
  <si>
    <t>Sorting and studies</t>
  </si>
  <si>
    <t>Complication degree</t>
  </si>
  <si>
    <t>Number of units</t>
  </si>
  <si>
    <t>Service residential building</t>
  </si>
  <si>
    <t>Luxurious residential building</t>
  </si>
  <si>
    <t>Villa</t>
  </si>
  <si>
    <t>Individual dwellings</t>
  </si>
  <si>
    <t>Service-compounds</t>
  </si>
  <si>
    <t>Luxury residential complexes</t>
  </si>
  <si>
    <t>Castle</t>
  </si>
  <si>
    <t>Square meters</t>
  </si>
  <si>
    <t>151-200</t>
  </si>
  <si>
    <t>101-150</t>
  </si>
  <si>
    <t>&lt;100</t>
  </si>
  <si>
    <t>Individual residences</t>
  </si>
  <si>
    <t>301-400</t>
  </si>
  <si>
    <t>&gt;400</t>
  </si>
  <si>
    <t>Areas. Square meters</t>
  </si>
  <si>
    <t>Year</t>
  </si>
  <si>
    <t>2007</t>
  </si>
  <si>
    <t>Orders. Number</t>
  </si>
  <si>
    <t>Orders areas. Square meter</t>
  </si>
  <si>
    <t>Transactions. Number</t>
  </si>
  <si>
    <t>Source:  Orders of Engineers - Beirut and Tripoli</t>
  </si>
  <si>
    <t>Table 7.3 - Construction permits</t>
  </si>
  <si>
    <t>Table 7.6 - Construction transactions</t>
  </si>
  <si>
    <t>Table 7.7 - Achieved transactions by type. Number</t>
  </si>
  <si>
    <t>Table 7.8 - Residential transaction permits. Quality and Mohafazat</t>
  </si>
  <si>
    <t>Table 7.9 - Transactions for execution. Registered and done</t>
  </si>
  <si>
    <t>Table 7.10 - Construction areas. Type of use</t>
  </si>
  <si>
    <t>Table 7.12 - Registered and executed areas. Transactions by type</t>
  </si>
  <si>
    <t>Table 7.13 - Sorted and registered real-estate. Area in square meters</t>
  </si>
  <si>
    <t>Table 7.14 - Residential buildings</t>
  </si>
  <si>
    <t>Table 7.15 - Residential units by type and Mohafazat. Number</t>
  </si>
  <si>
    <t>Table 7.16 - Execution orders. Number</t>
  </si>
  <si>
    <t>Table 7.17 - Execution orders based on transactions</t>
  </si>
  <si>
    <t>Table 7.18 - Execution orders based on regions</t>
  </si>
  <si>
    <t>Table 7.19 - Construction areas given by the Orders of Beirut and of Tripoli</t>
  </si>
  <si>
    <t>7. REAL ESTATE</t>
  </si>
  <si>
    <t>Total 2012</t>
  </si>
  <si>
    <t>Table 7.4 - Construction  permits. Square meters (1996 - 2012)</t>
  </si>
  <si>
    <t>Total 1996-2012</t>
  </si>
  <si>
    <t>Table 7.5 - Construction permits. Transactions (1996 - 2012)</t>
  </si>
  <si>
    <t>Table 7.11 - Construction areas. Type of use and Mohafazat (2006-2012)</t>
  </si>
  <si>
    <t>Total permits</t>
  </si>
  <si>
    <t>Ex ante 2009</t>
  </si>
  <si>
    <t>2010</t>
  </si>
  <si>
    <t>Table 7.1 - Real-estate transactions</t>
  </si>
  <si>
    <t>Source : Real-estate service of Cazas</t>
  </si>
  <si>
    <t>Number</t>
  </si>
  <si>
    <t>Baabda Aaley Chouf</t>
  </si>
  <si>
    <t>Kesrouan Jbayl</t>
  </si>
  <si>
    <t>Matn</t>
  </si>
  <si>
    <t>North Lebanon 1</t>
  </si>
  <si>
    <t>North Lebanon 2</t>
  </si>
  <si>
    <t>Sales, donations and successions</t>
  </si>
  <si>
    <t>Value in millions of LBP</t>
  </si>
  <si>
    <t>Registered Transactions</t>
  </si>
  <si>
    <t>Real estate mortagages</t>
  </si>
  <si>
    <t>Levied mortagages</t>
  </si>
  <si>
    <t>Seize</t>
  </si>
  <si>
    <t>Levied seize</t>
  </si>
  <si>
    <t>Table 7.1 - Real-estate transactions - Cont. 1</t>
  </si>
  <si>
    <t>Table 7.1 - Real-estate transactions - Cont. 3</t>
  </si>
  <si>
    <t>Table 7.1 - Real-estate transactions - Cont. 2</t>
  </si>
  <si>
    <t>Real-Estate, transaction</t>
  </si>
  <si>
    <t>Real estate</t>
  </si>
  <si>
    <t>Transactions &amp; contracts</t>
  </si>
  <si>
    <t>Instead of lost</t>
  </si>
  <si>
    <t>Taxes</t>
  </si>
  <si>
    <t>Main taxes</t>
  </si>
  <si>
    <t>Taxes paid by foreigners</t>
  </si>
  <si>
    <t>Received taxes in sale contracts</t>
  </si>
  <si>
    <t>Received municipal tax</t>
  </si>
  <si>
    <t>Sales, donations &amp; successions</t>
  </si>
  <si>
    <t>Real-estate mortagages</t>
  </si>
  <si>
    <t>Seizes</t>
  </si>
  <si>
    <t>Levied seizes</t>
  </si>
  <si>
    <t>Table 7.2 - Real-Estate court</t>
  </si>
  <si>
    <t>Real-estate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</si>
</sst>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  <numFmt numFmtId="214" formatCode="0.0000000000"/>
  </numFmts>
  <fonts count="58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.5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2" fillId="0" borderId="0" applyNumberFormat="0">
      <alignment horizontal="right"/>
      <protection/>
    </xf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horizontal="right" vertical="center" readingOrder="1"/>
    </xf>
    <xf numFmtId="0" fontId="5" fillId="0" borderId="0" xfId="0" applyFont="1" applyFill="1" applyAlignment="1">
      <alignment horizontal="center" vertical="center" readingOrder="1"/>
    </xf>
    <xf numFmtId="0" fontId="5" fillId="0" borderId="0" xfId="0" applyFont="1" applyFill="1" applyBorder="1" applyAlignment="1">
      <alignment vertical="center" readingOrder="1"/>
    </xf>
    <xf numFmtId="0" fontId="5" fillId="0" borderId="0" xfId="0" applyFont="1" applyFill="1" applyAlignment="1">
      <alignment horizontal="right" vertical="center" readingOrder="1"/>
    </xf>
    <xf numFmtId="0" fontId="15" fillId="0" borderId="0" xfId="0" applyFont="1" applyFill="1" applyBorder="1" applyAlignment="1">
      <alignment horizontal="center" vertical="center" readingOrder="1"/>
    </xf>
    <xf numFmtId="0" fontId="10" fillId="0" borderId="0" xfId="0" applyFont="1" applyFill="1" applyAlignment="1">
      <alignment horizontal="right" vertical="center" readingOrder="1"/>
    </xf>
    <xf numFmtId="0" fontId="8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horizontal="left" vertical="center" readingOrder="1"/>
    </xf>
    <xf numFmtId="0" fontId="8" fillId="0" borderId="0" xfId="0" applyFont="1" applyFill="1" applyBorder="1" applyAlignment="1">
      <alignment vertical="center" textRotation="90" readingOrder="1"/>
    </xf>
    <xf numFmtId="0" fontId="13" fillId="0" borderId="0" xfId="0" applyFont="1" applyFill="1" applyBorder="1" applyAlignment="1">
      <alignment vertical="center" textRotation="90" readingOrder="1"/>
    </xf>
    <xf numFmtId="0" fontId="8" fillId="0" borderId="0" xfId="0" applyFont="1" applyFill="1" applyBorder="1" applyAlignment="1">
      <alignment horizontal="center" vertical="center" readingOrder="1"/>
    </xf>
    <xf numFmtId="0" fontId="6" fillId="0" borderId="0" xfId="0" applyFont="1" applyFill="1" applyAlignment="1">
      <alignment vertical="center" readingOrder="1"/>
    </xf>
    <xf numFmtId="0" fontId="6" fillId="0" borderId="0" xfId="0" applyFont="1" applyFill="1" applyAlignment="1">
      <alignment horizontal="center" vertical="center" readingOrder="1"/>
    </xf>
    <xf numFmtId="0" fontId="11" fillId="0" borderId="0" xfId="0" applyFont="1" applyFill="1" applyAlignment="1">
      <alignment vertical="center" readingOrder="1"/>
    </xf>
    <xf numFmtId="0" fontId="6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readingOrder="1"/>
    </xf>
    <xf numFmtId="0" fontId="6" fillId="0" borderId="10" xfId="0" applyFont="1" applyFill="1" applyBorder="1" applyAlignment="1">
      <alignment horizontal="center" vertical="center" wrapText="1" readingOrder="1"/>
    </xf>
    <xf numFmtId="0" fontId="20" fillId="0" borderId="11" xfId="0" applyFont="1" applyFill="1" applyBorder="1" applyAlignment="1">
      <alignment horizontal="center" vertical="center" wrapText="1" readingOrder="1"/>
    </xf>
    <xf numFmtId="3" fontId="17" fillId="0" borderId="10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3" fontId="17" fillId="0" borderId="12" xfId="0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 wrapText="1" readingOrder="1"/>
    </xf>
    <xf numFmtId="3" fontId="17" fillId="0" borderId="11" xfId="0" applyNumberFormat="1" applyFont="1" applyFill="1" applyBorder="1" applyAlignment="1">
      <alignment vertical="center"/>
    </xf>
    <xf numFmtId="3" fontId="17" fillId="0" borderId="10" xfId="0" applyNumberFormat="1" applyFont="1" applyFill="1" applyBorder="1" applyAlignment="1">
      <alignment vertical="center" readingOrder="1"/>
    </xf>
    <xf numFmtId="0" fontId="6" fillId="0" borderId="12" xfId="0" applyFont="1" applyFill="1" applyBorder="1" applyAlignment="1">
      <alignment horizontal="center" vertical="center" wrapText="1" readingOrder="1"/>
    </xf>
    <xf numFmtId="3" fontId="17" fillId="0" borderId="12" xfId="0" applyNumberFormat="1" applyFont="1" applyFill="1" applyBorder="1" applyAlignment="1">
      <alignment vertical="center" readingOrder="1"/>
    </xf>
    <xf numFmtId="3" fontId="17" fillId="0" borderId="13" xfId="0" applyNumberFormat="1" applyFont="1" applyFill="1" applyBorder="1" applyAlignment="1">
      <alignment vertical="center" readingOrder="1"/>
    </xf>
    <xf numFmtId="3" fontId="17" fillId="0" borderId="11" xfId="0" applyNumberFormat="1" applyFont="1" applyFill="1" applyBorder="1" applyAlignment="1">
      <alignment vertical="center" readingOrder="1"/>
    </xf>
    <xf numFmtId="3" fontId="17" fillId="0" borderId="11" xfId="42" applyNumberFormat="1" applyFont="1" applyFill="1" applyBorder="1" applyAlignment="1">
      <alignment horizontal="right" vertical="center" readingOrder="1"/>
    </xf>
    <xf numFmtId="0" fontId="6" fillId="0" borderId="13" xfId="62" applyFont="1" applyFill="1" applyBorder="1" applyAlignment="1">
      <alignment horizontal="left" vertical="center" wrapText="1" readingOrder="1"/>
      <protection/>
    </xf>
    <xf numFmtId="3" fontId="9" fillId="0" borderId="13" xfId="42" applyNumberFormat="1" applyFont="1" applyFill="1" applyBorder="1" applyAlignment="1">
      <alignment horizontal="right" vertical="center" readingOrder="1"/>
    </xf>
    <xf numFmtId="0" fontId="6" fillId="0" borderId="10" xfId="62" applyFont="1" applyFill="1" applyBorder="1" applyAlignment="1">
      <alignment horizontal="left" vertical="center" wrapText="1" readingOrder="1"/>
      <protection/>
    </xf>
    <xf numFmtId="3" fontId="9" fillId="0" borderId="10" xfId="42" applyNumberFormat="1" applyFont="1" applyFill="1" applyBorder="1" applyAlignment="1">
      <alignment horizontal="right" vertical="center" readingOrder="1"/>
    </xf>
    <xf numFmtId="0" fontId="6" fillId="0" borderId="10" xfId="62" applyFont="1" applyFill="1" applyBorder="1" applyAlignment="1">
      <alignment horizontal="left" vertical="center" readingOrder="1"/>
      <protection/>
    </xf>
    <xf numFmtId="0" fontId="6" fillId="0" borderId="12" xfId="62" applyFont="1" applyFill="1" applyBorder="1" applyAlignment="1">
      <alignment horizontal="left" vertical="center" wrapText="1" readingOrder="1"/>
      <protection/>
    </xf>
    <xf numFmtId="3" fontId="9" fillId="0" borderId="12" xfId="42" applyNumberFormat="1" applyFont="1" applyFill="1" applyBorder="1" applyAlignment="1">
      <alignment horizontal="right" vertical="center" readingOrder="1"/>
    </xf>
    <xf numFmtId="0" fontId="16" fillId="0" borderId="11" xfId="62" applyFont="1" applyFill="1" applyBorder="1" applyAlignment="1">
      <alignment horizontal="center" vertical="center" wrapText="1" readingOrder="1"/>
      <protection/>
    </xf>
    <xf numFmtId="3" fontId="9" fillId="0" borderId="14" xfId="42" applyNumberFormat="1" applyFont="1" applyFill="1" applyBorder="1" applyAlignment="1">
      <alignment horizontal="right" vertical="center" readingOrder="1"/>
    </xf>
    <xf numFmtId="3" fontId="17" fillId="0" borderId="14" xfId="0" applyNumberFormat="1" applyFont="1" applyFill="1" applyBorder="1" applyAlignment="1">
      <alignment vertical="center" readingOrder="1"/>
    </xf>
    <xf numFmtId="0" fontId="8" fillId="0" borderId="0" xfId="0" applyFont="1" applyFill="1" applyAlignment="1">
      <alignment vertical="center"/>
    </xf>
    <xf numFmtId="3" fontId="17" fillId="0" borderId="11" xfId="42" applyNumberFormat="1" applyFont="1" applyFill="1" applyBorder="1" applyAlignment="1">
      <alignment horizontal="right" vertical="center"/>
    </xf>
    <xf numFmtId="0" fontId="6" fillId="0" borderId="14" xfId="62" applyFont="1" applyFill="1" applyBorder="1" applyAlignment="1">
      <alignment horizontal="left" vertical="center" wrapText="1" readingOrder="1"/>
      <protection/>
    </xf>
    <xf numFmtId="3" fontId="9" fillId="0" borderId="14" xfId="42" applyNumberFormat="1" applyFont="1" applyFill="1" applyBorder="1" applyAlignment="1">
      <alignment horizontal="right" vertical="center"/>
    </xf>
    <xf numFmtId="3" fontId="17" fillId="0" borderId="14" xfId="0" applyNumberFormat="1" applyFont="1" applyFill="1" applyBorder="1" applyAlignment="1">
      <alignment vertical="center"/>
    </xf>
    <xf numFmtId="3" fontId="9" fillId="0" borderId="10" xfId="42" applyNumberFormat="1" applyFont="1" applyFill="1" applyBorder="1" applyAlignment="1">
      <alignment horizontal="right" vertical="center"/>
    </xf>
    <xf numFmtId="3" fontId="9" fillId="0" borderId="12" xfId="42" applyNumberFormat="1" applyFont="1" applyFill="1" applyBorder="1" applyAlignment="1">
      <alignment horizontal="right" vertical="center"/>
    </xf>
    <xf numFmtId="3" fontId="9" fillId="0" borderId="14" xfId="42" applyNumberFormat="1" applyFont="1" applyFill="1" applyBorder="1" applyAlignment="1">
      <alignment vertical="center"/>
    </xf>
    <xf numFmtId="3" fontId="9" fillId="0" borderId="12" xfId="42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6" fillId="0" borderId="15" xfId="0" applyFont="1" applyFill="1" applyBorder="1" applyAlignment="1">
      <alignment horizontal="center" vertical="center" wrapText="1" readingOrder="1"/>
    </xf>
    <xf numFmtId="3" fontId="17" fillId="0" borderId="15" xfId="42" applyNumberFormat="1" applyFont="1" applyFill="1" applyBorder="1" applyAlignment="1">
      <alignment horizontal="right" vertical="center"/>
    </xf>
    <xf numFmtId="3" fontId="17" fillId="0" borderId="15" xfId="0" applyNumberFormat="1" applyFont="1" applyFill="1" applyBorder="1" applyAlignment="1">
      <alignment vertical="center"/>
    </xf>
    <xf numFmtId="3" fontId="17" fillId="0" borderId="0" xfId="42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6" fillId="0" borderId="15" xfId="0" applyFont="1" applyFill="1" applyBorder="1" applyAlignment="1">
      <alignment horizontal="center" vertical="center"/>
    </xf>
    <xf numFmtId="3" fontId="17" fillId="0" borderId="15" xfId="42" applyNumberFormat="1" applyFont="1" applyFill="1" applyBorder="1" applyAlignment="1">
      <alignment horizontal="right" vertical="center" readingOrder="1"/>
    </xf>
    <xf numFmtId="3" fontId="17" fillId="0" borderId="15" xfId="0" applyNumberFormat="1" applyFont="1" applyFill="1" applyBorder="1" applyAlignment="1">
      <alignment vertical="center" readingOrder="1"/>
    </xf>
    <xf numFmtId="0" fontId="6" fillId="0" borderId="14" xfId="0" applyFont="1" applyFill="1" applyBorder="1" applyAlignment="1">
      <alignment horizontal="center" vertical="center" wrapText="1" readingOrder="1"/>
    </xf>
    <xf numFmtId="3" fontId="17" fillId="0" borderId="0" xfId="42" applyNumberFormat="1" applyFont="1" applyFill="1" applyBorder="1" applyAlignment="1">
      <alignment horizontal="right" vertical="center" readingOrder="1"/>
    </xf>
    <xf numFmtId="3" fontId="17" fillId="0" borderId="0" xfId="0" applyNumberFormat="1" applyFont="1" applyFill="1" applyBorder="1" applyAlignment="1">
      <alignment vertical="center" readingOrder="1"/>
    </xf>
    <xf numFmtId="3" fontId="9" fillId="0" borderId="10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17" fillId="0" borderId="14" xfId="42" applyNumberFormat="1" applyFont="1" applyFill="1" applyBorder="1" applyAlignment="1">
      <alignment vertical="center"/>
    </xf>
    <xf numFmtId="3" fontId="17" fillId="0" borderId="12" xfId="42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191" fontId="17" fillId="0" borderId="14" xfId="42" applyNumberFormat="1" applyFont="1" applyFill="1" applyBorder="1" applyAlignment="1">
      <alignment vertical="center" readingOrder="1"/>
    </xf>
    <xf numFmtId="191" fontId="17" fillId="0" borderId="10" xfId="42" applyNumberFormat="1" applyFont="1" applyFill="1" applyBorder="1" applyAlignment="1">
      <alignment vertical="center" readingOrder="1"/>
    </xf>
    <xf numFmtId="191" fontId="17" fillId="0" borderId="12" xfId="42" applyNumberFormat="1" applyFont="1" applyFill="1" applyBorder="1" applyAlignment="1">
      <alignment vertical="center" readingOrder="1"/>
    </xf>
    <xf numFmtId="3" fontId="9" fillId="0" borderId="14" xfId="0" applyNumberFormat="1" applyFont="1" applyFill="1" applyBorder="1" applyAlignment="1">
      <alignment vertical="center" readingOrder="1"/>
    </xf>
    <xf numFmtId="3" fontId="9" fillId="0" borderId="12" xfId="0" applyNumberFormat="1" applyFont="1" applyFill="1" applyBorder="1" applyAlignment="1">
      <alignment vertical="center" readingOrder="1"/>
    </xf>
    <xf numFmtId="3" fontId="9" fillId="0" borderId="11" xfId="0" applyNumberFormat="1" applyFont="1" applyFill="1" applyBorder="1" applyAlignment="1">
      <alignment vertical="center" readingOrder="1"/>
    </xf>
    <xf numFmtId="0" fontId="8" fillId="0" borderId="11" xfId="0" applyFont="1" applyFill="1" applyBorder="1" applyAlignment="1">
      <alignment horizontal="center" vertical="center" wrapText="1" readingOrder="1"/>
    </xf>
    <xf numFmtId="191" fontId="9" fillId="0" borderId="11" xfId="42" applyNumberFormat="1" applyFont="1" applyFill="1" applyBorder="1" applyAlignment="1">
      <alignment horizontal="right" vertical="center" readingOrder="1"/>
    </xf>
    <xf numFmtId="191" fontId="17" fillId="0" borderId="11" xfId="0" applyNumberFormat="1" applyFont="1" applyFill="1" applyBorder="1" applyAlignment="1">
      <alignment vertical="center" readingOrder="1"/>
    </xf>
    <xf numFmtId="191" fontId="9" fillId="0" borderId="14" xfId="42" applyNumberFormat="1" applyFont="1" applyFill="1" applyBorder="1" applyAlignment="1">
      <alignment horizontal="right" vertical="center" readingOrder="1"/>
    </xf>
    <xf numFmtId="191" fontId="17" fillId="0" borderId="14" xfId="0" applyNumberFormat="1" applyFont="1" applyFill="1" applyBorder="1" applyAlignment="1">
      <alignment vertical="center" readingOrder="1"/>
    </xf>
    <xf numFmtId="191" fontId="9" fillId="0" borderId="10" xfId="42" applyNumberFormat="1" applyFont="1" applyFill="1" applyBorder="1" applyAlignment="1">
      <alignment horizontal="right" vertical="center" readingOrder="1"/>
    </xf>
    <xf numFmtId="191" fontId="17" fillId="0" borderId="10" xfId="0" applyNumberFormat="1" applyFont="1" applyFill="1" applyBorder="1" applyAlignment="1">
      <alignment vertical="center" readingOrder="1"/>
    </xf>
    <xf numFmtId="191" fontId="9" fillId="0" borderId="12" xfId="42" applyNumberFormat="1" applyFont="1" applyFill="1" applyBorder="1" applyAlignment="1">
      <alignment horizontal="right" vertical="center" readingOrder="1"/>
    </xf>
    <xf numFmtId="191" fontId="17" fillId="0" borderId="12" xfId="0" applyNumberFormat="1" applyFont="1" applyFill="1" applyBorder="1" applyAlignment="1">
      <alignment vertical="center" readingOrder="1"/>
    </xf>
    <xf numFmtId="0" fontId="9" fillId="0" borderId="14" xfId="0" applyFont="1" applyFill="1" applyBorder="1" applyAlignment="1">
      <alignment vertical="center" readingOrder="1"/>
    </xf>
    <xf numFmtId="0" fontId="9" fillId="0" borderId="10" xfId="0" applyFont="1" applyFill="1" applyBorder="1" applyAlignment="1">
      <alignment vertical="center" readingOrder="1"/>
    </xf>
    <xf numFmtId="0" fontId="9" fillId="0" borderId="12" xfId="0" applyFont="1" applyFill="1" applyBorder="1" applyAlignment="1">
      <alignment vertical="center" readingOrder="1"/>
    </xf>
    <xf numFmtId="0" fontId="16" fillId="0" borderId="16" xfId="0" applyFont="1" applyFill="1" applyBorder="1" applyAlignment="1">
      <alignment horizontal="center" vertical="center" readingOrder="1"/>
    </xf>
    <xf numFmtId="37" fontId="9" fillId="0" borderId="14" xfId="42" applyNumberFormat="1" applyFont="1" applyFill="1" applyBorder="1" applyAlignment="1">
      <alignment horizontal="right" vertical="center" readingOrder="1"/>
    </xf>
    <xf numFmtId="37" fontId="17" fillId="0" borderId="14" xfId="0" applyNumberFormat="1" applyFont="1" applyFill="1" applyBorder="1" applyAlignment="1">
      <alignment vertical="center" readingOrder="1"/>
    </xf>
    <xf numFmtId="37" fontId="9" fillId="0" borderId="10" xfId="42" applyNumberFormat="1" applyFont="1" applyFill="1" applyBorder="1" applyAlignment="1">
      <alignment horizontal="right" vertical="center" readingOrder="1"/>
    </xf>
    <xf numFmtId="37" fontId="17" fillId="0" borderId="10" xfId="0" applyNumberFormat="1" applyFont="1" applyFill="1" applyBorder="1" applyAlignment="1">
      <alignment vertical="center" readingOrder="1"/>
    </xf>
    <xf numFmtId="37" fontId="9" fillId="0" borderId="12" xfId="42" applyNumberFormat="1" applyFont="1" applyFill="1" applyBorder="1" applyAlignment="1">
      <alignment horizontal="right" vertical="center" readingOrder="1"/>
    </xf>
    <xf numFmtId="37" fontId="17" fillId="0" borderId="12" xfId="0" applyNumberFormat="1" applyFont="1" applyFill="1" applyBorder="1" applyAlignment="1">
      <alignment vertical="center" readingOrder="1"/>
    </xf>
    <xf numFmtId="37" fontId="9" fillId="0" borderId="11" xfId="42" applyNumberFormat="1" applyFont="1" applyFill="1" applyBorder="1" applyAlignment="1">
      <alignment horizontal="right" vertical="center" readingOrder="1"/>
    </xf>
    <xf numFmtId="37" fontId="17" fillId="0" borderId="11" xfId="0" applyNumberFormat="1" applyFont="1" applyFill="1" applyBorder="1" applyAlignment="1">
      <alignment vertical="center" readingOrder="1"/>
    </xf>
    <xf numFmtId="37" fontId="18" fillId="0" borderId="11" xfId="42" applyNumberFormat="1" applyFont="1" applyFill="1" applyBorder="1" applyAlignment="1">
      <alignment horizontal="right" vertical="center" readingOrder="1"/>
    </xf>
    <xf numFmtId="37" fontId="19" fillId="0" borderId="11" xfId="0" applyNumberFormat="1" applyFont="1" applyFill="1" applyBorder="1" applyAlignment="1">
      <alignment vertical="center" readingOrder="1"/>
    </xf>
    <xf numFmtId="37" fontId="17" fillId="0" borderId="11" xfId="42" applyNumberFormat="1" applyFont="1" applyFill="1" applyBorder="1" applyAlignment="1">
      <alignment horizontal="right" vertical="center" readingOrder="1"/>
    </xf>
    <xf numFmtId="3" fontId="40" fillId="0" borderId="10" xfId="0" applyNumberFormat="1" applyFont="1" applyFill="1" applyBorder="1" applyAlignment="1">
      <alignment vertical="center" readingOrder="1"/>
    </xf>
    <xf numFmtId="3" fontId="40" fillId="0" borderId="12" xfId="0" applyNumberFormat="1" applyFont="1" applyFill="1" applyBorder="1" applyAlignment="1">
      <alignment vertical="center" readingOrder="1"/>
    </xf>
    <xf numFmtId="0" fontId="8" fillId="0" borderId="11" xfId="0" applyFont="1" applyFill="1" applyBorder="1" applyAlignment="1">
      <alignment vertical="center" wrapText="1" readingOrder="1"/>
    </xf>
    <xf numFmtId="197" fontId="9" fillId="0" borderId="12" xfId="0" applyNumberFormat="1" applyFont="1" applyFill="1" applyBorder="1" applyAlignment="1">
      <alignment vertical="center" readingOrder="1"/>
    </xf>
    <xf numFmtId="0" fontId="5" fillId="0" borderId="10" xfId="0" applyFont="1" applyFill="1" applyBorder="1" applyAlignment="1">
      <alignment vertical="center" wrapText="1" readingOrder="1"/>
    </xf>
    <xf numFmtId="0" fontId="5" fillId="0" borderId="12" xfId="0" applyFont="1" applyFill="1" applyBorder="1" applyAlignment="1">
      <alignment vertical="center" wrapText="1" readingOrder="1"/>
    </xf>
    <xf numFmtId="0" fontId="5" fillId="0" borderId="14" xfId="0" applyFont="1" applyFill="1" applyBorder="1" applyAlignment="1">
      <alignment vertical="center" wrapText="1" readingOrder="1"/>
    </xf>
    <xf numFmtId="0" fontId="16" fillId="0" borderId="15" xfId="0" applyFont="1" applyFill="1" applyBorder="1" applyAlignment="1">
      <alignment horizontal="right" vertical="center" wrapText="1" readingOrder="1"/>
    </xf>
    <xf numFmtId="0" fontId="6" fillId="0" borderId="17" xfId="0" applyFont="1" applyFill="1" applyBorder="1" applyAlignment="1">
      <alignment horizontal="left" vertical="center" wrapText="1" readingOrder="1"/>
    </xf>
    <xf numFmtId="0" fontId="6" fillId="0" borderId="10" xfId="0" applyFont="1" applyFill="1" applyBorder="1" applyAlignment="1">
      <alignment horizontal="left" vertical="center" wrapText="1" readingOrder="1"/>
    </xf>
    <xf numFmtId="0" fontId="6" fillId="0" borderId="14" xfId="0" applyFont="1" applyFill="1" applyBorder="1" applyAlignment="1">
      <alignment horizontal="left" vertical="center" wrapText="1" readingOrder="1"/>
    </xf>
    <xf numFmtId="0" fontId="7" fillId="0" borderId="0" xfId="0" applyFont="1" applyFill="1" applyAlignment="1">
      <alignment horizontal="right" vertical="center" readingOrder="1"/>
    </xf>
    <xf numFmtId="0" fontId="6" fillId="0" borderId="18" xfId="0" applyFont="1" applyFill="1" applyBorder="1" applyAlignment="1">
      <alignment horizontal="left" vertical="center" wrapText="1" readingOrder="1"/>
    </xf>
    <xf numFmtId="0" fontId="6" fillId="0" borderId="19" xfId="0" applyFont="1" applyFill="1" applyBorder="1" applyAlignment="1">
      <alignment horizontal="left" vertical="center" wrapText="1" readingOrder="1"/>
    </xf>
    <xf numFmtId="0" fontId="6" fillId="0" borderId="20" xfId="0" applyFont="1" applyFill="1" applyBorder="1" applyAlignment="1">
      <alignment horizontal="left" vertical="center" wrapText="1" readingOrder="1"/>
    </xf>
    <xf numFmtId="0" fontId="9" fillId="0" borderId="14" xfId="42" applyNumberFormat="1" applyFont="1" applyFill="1" applyBorder="1" applyAlignment="1">
      <alignment horizontal="right" vertical="center" readingOrder="1"/>
    </xf>
    <xf numFmtId="0" fontId="9" fillId="0" borderId="10" xfId="42" applyNumberFormat="1" applyFont="1" applyFill="1" applyBorder="1" applyAlignment="1">
      <alignment horizontal="right" vertical="center" readingOrder="1"/>
    </xf>
    <xf numFmtId="0" fontId="9" fillId="0" borderId="12" xfId="42" applyNumberFormat="1" applyFont="1" applyFill="1" applyBorder="1" applyAlignment="1">
      <alignment horizontal="right" vertical="center" readingOrder="1"/>
    </xf>
    <xf numFmtId="0" fontId="6" fillId="0" borderId="12" xfId="0" applyFont="1" applyFill="1" applyBorder="1" applyAlignment="1">
      <alignment horizontal="left" vertical="center" wrapText="1" readingOrder="1"/>
    </xf>
    <xf numFmtId="37" fontId="17" fillId="0" borderId="15" xfId="42" applyNumberFormat="1" applyFont="1" applyFill="1" applyBorder="1" applyAlignment="1">
      <alignment horizontal="right" vertical="center" readingOrder="1"/>
    </xf>
    <xf numFmtId="191" fontId="17" fillId="0" borderId="11" xfId="42" applyNumberFormat="1" applyFont="1" applyFill="1" applyBorder="1" applyAlignment="1">
      <alignment horizontal="right" vertical="center" readingOrder="1"/>
    </xf>
    <xf numFmtId="49" fontId="5" fillId="0" borderId="12" xfId="0" applyNumberFormat="1" applyFont="1" applyFill="1" applyBorder="1" applyAlignment="1">
      <alignment vertical="center" wrapText="1" readingOrder="1"/>
    </xf>
    <xf numFmtId="49" fontId="8" fillId="0" borderId="11" xfId="0" applyNumberFormat="1" applyFont="1" applyFill="1" applyBorder="1" applyAlignment="1">
      <alignment vertical="center" wrapText="1" readingOrder="1"/>
    </xf>
    <xf numFmtId="49" fontId="5" fillId="0" borderId="10" xfId="0" applyNumberFormat="1" applyFont="1" applyFill="1" applyBorder="1" applyAlignment="1">
      <alignment vertical="center" wrapText="1" readingOrder="1"/>
    </xf>
    <xf numFmtId="49" fontId="5" fillId="0" borderId="14" xfId="0" applyNumberFormat="1" applyFont="1" applyFill="1" applyBorder="1" applyAlignment="1">
      <alignment vertical="center" wrapText="1" readingOrder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readingOrder="1"/>
    </xf>
    <xf numFmtId="0" fontId="16" fillId="0" borderId="11" xfId="0" applyFont="1" applyFill="1" applyBorder="1" applyAlignment="1">
      <alignment horizontal="right" vertical="center" wrapText="1" readingOrder="1"/>
    </xf>
    <xf numFmtId="3" fontId="9" fillId="0" borderId="14" xfId="0" applyNumberFormat="1" applyFont="1" applyFill="1" applyBorder="1" applyAlignment="1">
      <alignment horizontal="right" vertical="center" readingOrder="1"/>
    </xf>
    <xf numFmtId="3" fontId="17" fillId="0" borderId="14" xfId="0" applyNumberFormat="1" applyFont="1" applyFill="1" applyBorder="1" applyAlignment="1">
      <alignment horizontal="right" vertical="center" readingOrder="1"/>
    </xf>
    <xf numFmtId="3" fontId="9" fillId="0" borderId="10" xfId="0" applyNumberFormat="1" applyFont="1" applyFill="1" applyBorder="1" applyAlignment="1">
      <alignment horizontal="right" vertical="center" readingOrder="1"/>
    </xf>
    <xf numFmtId="3" fontId="17" fillId="0" borderId="10" xfId="0" applyNumberFormat="1" applyFont="1" applyFill="1" applyBorder="1" applyAlignment="1">
      <alignment horizontal="right" vertical="center" readingOrder="1"/>
    </xf>
    <xf numFmtId="3" fontId="9" fillId="0" borderId="17" xfId="42" applyNumberFormat="1" applyFont="1" applyFill="1" applyBorder="1" applyAlignment="1">
      <alignment horizontal="right" vertical="center" readingOrder="1"/>
    </xf>
    <xf numFmtId="3" fontId="9" fillId="0" borderId="17" xfId="0" applyNumberFormat="1" applyFont="1" applyFill="1" applyBorder="1" applyAlignment="1">
      <alignment horizontal="right" vertical="center" readingOrder="1"/>
    </xf>
    <xf numFmtId="3" fontId="17" fillId="0" borderId="12" xfId="0" applyNumberFormat="1" applyFont="1" applyFill="1" applyBorder="1" applyAlignment="1">
      <alignment horizontal="right" vertical="center" readingOrder="1"/>
    </xf>
    <xf numFmtId="191" fontId="9" fillId="0" borderId="14" xfId="0" applyNumberFormat="1" applyFont="1" applyFill="1" applyBorder="1" applyAlignment="1">
      <alignment horizontal="right" vertical="center" readingOrder="1"/>
    </xf>
    <xf numFmtId="191" fontId="9" fillId="0" borderId="10" xfId="0" applyNumberFormat="1" applyFont="1" applyFill="1" applyBorder="1" applyAlignment="1">
      <alignment horizontal="right" vertical="center" readingOrder="1"/>
    </xf>
    <xf numFmtId="191" fontId="9" fillId="0" borderId="17" xfId="42" applyNumberFormat="1" applyFont="1" applyFill="1" applyBorder="1" applyAlignment="1">
      <alignment horizontal="right" vertical="center" readingOrder="1"/>
    </xf>
    <xf numFmtId="191" fontId="9" fillId="0" borderId="17" xfId="0" applyNumberFormat="1" applyFont="1" applyFill="1" applyBorder="1" applyAlignment="1">
      <alignment horizontal="right" vertical="center" readingOrder="1"/>
    </xf>
    <xf numFmtId="3" fontId="17" fillId="0" borderId="14" xfId="42" applyNumberFormat="1" applyFont="1" applyFill="1" applyBorder="1" applyAlignment="1">
      <alignment horizontal="right" vertical="center" readingOrder="1"/>
    </xf>
    <xf numFmtId="3" fontId="17" fillId="0" borderId="10" xfId="42" applyNumberFormat="1" applyFont="1" applyFill="1" applyBorder="1" applyAlignment="1">
      <alignment horizontal="right" vertical="center" readingOrder="1"/>
    </xf>
    <xf numFmtId="3" fontId="17" fillId="0" borderId="12" xfId="42" applyNumberFormat="1" applyFont="1" applyFill="1" applyBorder="1" applyAlignment="1">
      <alignment horizontal="right" vertical="center" readingOrder="1"/>
    </xf>
    <xf numFmtId="0" fontId="9" fillId="0" borderId="14" xfId="0" applyFont="1" applyFill="1" applyBorder="1" applyAlignment="1">
      <alignment horizontal="right" vertical="center" readingOrder="1"/>
    </xf>
    <xf numFmtId="0" fontId="9" fillId="0" borderId="10" xfId="0" applyFont="1" applyFill="1" applyBorder="1" applyAlignment="1">
      <alignment horizontal="right" vertical="center" readingOrder="1"/>
    </xf>
    <xf numFmtId="0" fontId="9" fillId="0" borderId="17" xfId="42" applyNumberFormat="1" applyFont="1" applyFill="1" applyBorder="1" applyAlignment="1">
      <alignment horizontal="right" vertical="center" readingOrder="1"/>
    </xf>
    <xf numFmtId="0" fontId="9" fillId="0" borderId="17" xfId="0" applyFont="1" applyFill="1" applyBorder="1" applyAlignment="1">
      <alignment horizontal="right" vertical="center" readingOrder="1"/>
    </xf>
    <xf numFmtId="3" fontId="17" fillId="0" borderId="17" xfId="0" applyNumberFormat="1" applyFont="1" applyFill="1" applyBorder="1" applyAlignment="1">
      <alignment horizontal="right" vertical="center" readingOrder="1"/>
    </xf>
    <xf numFmtId="0" fontId="17" fillId="0" borderId="11" xfId="42" applyNumberFormat="1" applyFont="1" applyFill="1" applyBorder="1" applyAlignment="1">
      <alignment horizontal="right" vertical="center" readingOrder="1"/>
    </xf>
    <xf numFmtId="0" fontId="8" fillId="0" borderId="11" xfId="0" applyFont="1" applyFill="1" applyBorder="1" applyAlignment="1">
      <alignment horizontal="right" vertical="center" readingOrder="1"/>
    </xf>
    <xf numFmtId="0" fontId="5" fillId="0" borderId="14" xfId="0" applyFont="1" applyFill="1" applyBorder="1" applyAlignment="1">
      <alignment vertical="center" wrapText="1"/>
    </xf>
    <xf numFmtId="191" fontId="9" fillId="0" borderId="14" xfId="42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191" fontId="9" fillId="0" borderId="12" xfId="42" applyNumberFormat="1" applyFont="1" applyFill="1" applyBorder="1" applyAlignment="1">
      <alignment vertical="center"/>
    </xf>
    <xf numFmtId="191" fontId="17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horizontal="center" vertical="center" wrapText="1" readingOrder="1"/>
    </xf>
    <xf numFmtId="3" fontId="17" fillId="0" borderId="21" xfId="0" applyNumberFormat="1" applyFont="1" applyFill="1" applyBorder="1" applyAlignment="1">
      <alignment horizontal="right" vertical="center" wrapText="1" readingOrder="1"/>
    </xf>
    <xf numFmtId="3" fontId="9" fillId="0" borderId="10" xfId="0" applyNumberFormat="1" applyFont="1" applyFill="1" applyBorder="1" applyAlignment="1">
      <alignment vertical="center" readingOrder="1"/>
    </xf>
    <xf numFmtId="191" fontId="17" fillId="0" borderId="11" xfId="42" applyNumberFormat="1" applyFont="1" applyFill="1" applyBorder="1" applyAlignment="1">
      <alignment vertical="center" readingOrder="1"/>
    </xf>
    <xf numFmtId="0" fontId="5" fillId="0" borderId="14" xfId="0" applyFont="1" applyFill="1" applyBorder="1" applyAlignment="1">
      <alignment vertical="center" readingOrder="1"/>
    </xf>
    <xf numFmtId="0" fontId="5" fillId="0" borderId="10" xfId="0" applyFont="1" applyFill="1" applyBorder="1" applyAlignment="1">
      <alignment vertical="center" readingOrder="1"/>
    </xf>
    <xf numFmtId="0" fontId="7" fillId="0" borderId="0" xfId="0" applyFont="1" applyFill="1" applyAlignment="1">
      <alignment horizontal="left" vertical="center" wrapText="1" readingOrder="1"/>
    </xf>
    <xf numFmtId="0" fontId="7" fillId="0" borderId="0" xfId="0" applyFont="1" applyFill="1" applyAlignment="1">
      <alignment vertical="center" wrapText="1" readingOrder="1"/>
    </xf>
    <xf numFmtId="0" fontId="8" fillId="0" borderId="11" xfId="0" applyFont="1" applyFill="1" applyBorder="1" applyAlignment="1">
      <alignment horizontal="right" vertical="center" wrapText="1" readingOrder="1"/>
    </xf>
    <xf numFmtId="0" fontId="5" fillId="0" borderId="0" xfId="0" applyFont="1" applyFill="1" applyAlignment="1">
      <alignment vertical="center" wrapText="1" readingOrder="1"/>
    </xf>
    <xf numFmtId="172" fontId="9" fillId="0" borderId="10" xfId="0" applyNumberFormat="1" applyFont="1" applyFill="1" applyBorder="1" applyAlignment="1">
      <alignment vertical="center" readingOrder="1"/>
    </xf>
    <xf numFmtId="49" fontId="5" fillId="0" borderId="13" xfId="0" applyNumberFormat="1" applyFont="1" applyFill="1" applyBorder="1" applyAlignment="1">
      <alignment vertical="center" wrapText="1" readingOrder="1"/>
    </xf>
    <xf numFmtId="3" fontId="9" fillId="0" borderId="13" xfId="0" applyNumberFormat="1" applyFont="1" applyFill="1" applyBorder="1" applyAlignment="1">
      <alignment vertical="center" readingOrder="1"/>
    </xf>
    <xf numFmtId="0" fontId="9" fillId="0" borderId="13" xfId="0" applyFont="1" applyFill="1" applyBorder="1" applyAlignment="1">
      <alignment vertical="center" readingOrder="1"/>
    </xf>
    <xf numFmtId="172" fontId="9" fillId="0" borderId="13" xfId="0" applyNumberFormat="1" applyFont="1" applyFill="1" applyBorder="1" applyAlignment="1">
      <alignment vertical="center" readingOrder="1"/>
    </xf>
    <xf numFmtId="172" fontId="9" fillId="0" borderId="12" xfId="0" applyNumberFormat="1" applyFont="1" applyFill="1" applyBorder="1" applyAlignment="1">
      <alignment vertical="center" readingOrder="1"/>
    </xf>
    <xf numFmtId="49" fontId="8" fillId="0" borderId="11" xfId="0" applyNumberFormat="1" applyFont="1" applyFill="1" applyBorder="1" applyAlignment="1">
      <alignment horizontal="center" vertical="center" wrapText="1" readingOrder="1"/>
    </xf>
    <xf numFmtId="172" fontId="9" fillId="0" borderId="15" xfId="0" applyNumberFormat="1" applyFont="1" applyFill="1" applyBorder="1" applyAlignment="1">
      <alignment vertical="center" readingOrder="1"/>
    </xf>
    <xf numFmtId="172" fontId="9" fillId="0" borderId="14" xfId="0" applyNumberFormat="1" applyFont="1" applyFill="1" applyBorder="1" applyAlignment="1">
      <alignment vertical="center" readingOrder="1"/>
    </xf>
    <xf numFmtId="172" fontId="9" fillId="0" borderId="11" xfId="0" applyNumberFormat="1" applyFont="1" applyFill="1" applyBorder="1" applyAlignment="1">
      <alignment vertical="center" readingOrder="1"/>
    </xf>
    <xf numFmtId="3" fontId="9" fillId="0" borderId="17" xfId="0" applyNumberFormat="1" applyFont="1" applyFill="1" applyBorder="1" applyAlignment="1">
      <alignment vertical="center" readingOrder="1"/>
    </xf>
    <xf numFmtId="0" fontId="9" fillId="0" borderId="17" xfId="0" applyFont="1" applyFill="1" applyBorder="1" applyAlignment="1">
      <alignment vertical="center" readingOrder="1"/>
    </xf>
    <xf numFmtId="172" fontId="9" fillId="0" borderId="17" xfId="0" applyNumberFormat="1" applyFont="1" applyFill="1" applyBorder="1" applyAlignment="1">
      <alignment vertical="center" readingOrder="1"/>
    </xf>
    <xf numFmtId="191" fontId="9" fillId="0" borderId="14" xfId="42" applyNumberFormat="1" applyFont="1" applyFill="1" applyBorder="1" applyAlignment="1">
      <alignment horizontal="center"/>
    </xf>
    <xf numFmtId="191" fontId="9" fillId="0" borderId="14" xfId="42" applyNumberFormat="1" applyFont="1" applyFill="1" applyBorder="1" applyAlignment="1">
      <alignment vertical="center" readingOrder="1"/>
    </xf>
    <xf numFmtId="185" fontId="9" fillId="0" borderId="14" xfId="66" applyNumberFormat="1" applyFont="1" applyFill="1" applyBorder="1" applyAlignment="1">
      <alignment vertical="center" readingOrder="1"/>
    </xf>
    <xf numFmtId="191" fontId="9" fillId="0" borderId="10" xfId="42" applyNumberFormat="1" applyFont="1" applyFill="1" applyBorder="1" applyAlignment="1">
      <alignment horizontal="center"/>
    </xf>
    <xf numFmtId="191" fontId="9" fillId="0" borderId="10" xfId="42" applyNumberFormat="1" applyFont="1" applyFill="1" applyBorder="1" applyAlignment="1">
      <alignment vertical="center" readingOrder="1"/>
    </xf>
    <xf numFmtId="185" fontId="9" fillId="0" borderId="10" xfId="66" applyNumberFormat="1" applyFont="1" applyFill="1" applyBorder="1" applyAlignment="1">
      <alignment vertical="center" readingOrder="1"/>
    </xf>
    <xf numFmtId="37" fontId="9" fillId="0" borderId="12" xfId="42" applyNumberFormat="1" applyFont="1" applyFill="1" applyBorder="1" applyAlignment="1" quotePrefix="1">
      <alignment horizontal="center"/>
    </xf>
    <xf numFmtId="37" fontId="9" fillId="0" borderId="12" xfId="42" applyNumberFormat="1" applyFont="1" applyFill="1" applyBorder="1" applyAlignment="1">
      <alignment vertical="center" readingOrder="1"/>
    </xf>
    <xf numFmtId="185" fontId="9" fillId="0" borderId="12" xfId="66" applyNumberFormat="1" applyFont="1" applyFill="1" applyBorder="1" applyAlignment="1">
      <alignment vertical="center" readingOrder="1"/>
    </xf>
    <xf numFmtId="185" fontId="17" fillId="0" borderId="11" xfId="66" applyNumberFormat="1" applyFont="1" applyFill="1" applyBorder="1" applyAlignment="1">
      <alignment vertical="center" readingOrder="1"/>
    </xf>
    <xf numFmtId="185" fontId="9" fillId="0" borderId="11" xfId="66" applyNumberFormat="1" applyFont="1" applyFill="1" applyBorder="1" applyAlignment="1">
      <alignment vertical="center" readingOrder="1"/>
    </xf>
    <xf numFmtId="191" fontId="9" fillId="0" borderId="13" xfId="42" applyNumberFormat="1" applyFont="1" applyFill="1" applyBorder="1" applyAlignment="1">
      <alignment vertical="center" readingOrder="1"/>
    </xf>
    <xf numFmtId="191" fontId="9" fillId="0" borderId="17" xfId="42" applyNumberFormat="1" applyFont="1" applyFill="1" applyBorder="1" applyAlignment="1">
      <alignment vertical="center" readingOrder="1"/>
    </xf>
    <xf numFmtId="191" fontId="9" fillId="0" borderId="12" xfId="42" applyNumberFormat="1" applyFont="1" applyFill="1" applyBorder="1" applyAlignment="1">
      <alignment vertical="center" readingOrder="1"/>
    </xf>
    <xf numFmtId="0" fontId="7" fillId="0" borderId="0" xfId="0" applyFont="1" applyFill="1" applyAlignment="1">
      <alignment horizontal="left" vertical="center" readingOrder="1"/>
    </xf>
    <xf numFmtId="197" fontId="9" fillId="0" borderId="14" xfId="0" applyNumberFormat="1" applyFont="1" applyFill="1" applyBorder="1" applyAlignment="1">
      <alignment vertical="center" readingOrder="1"/>
    </xf>
    <xf numFmtId="197" fontId="9" fillId="0" borderId="10" xfId="0" applyNumberFormat="1" applyFont="1" applyFill="1" applyBorder="1" applyAlignment="1">
      <alignment vertical="center" readingOrder="1"/>
    </xf>
    <xf numFmtId="197" fontId="17" fillId="0" borderId="11" xfId="0" applyNumberFormat="1" applyFont="1" applyFill="1" applyBorder="1" applyAlignment="1">
      <alignment vertical="center" readingOrder="1"/>
    </xf>
    <xf numFmtId="49" fontId="8" fillId="0" borderId="15" xfId="0" applyNumberFormat="1" applyFont="1" applyFill="1" applyBorder="1" applyAlignment="1">
      <alignment horizontal="right" vertical="center" readingOrder="1"/>
    </xf>
    <xf numFmtId="0" fontId="8" fillId="0" borderId="15" xfId="0" applyFont="1" applyFill="1" applyBorder="1" applyAlignment="1">
      <alignment horizontal="right" vertical="center" readingOrder="1"/>
    </xf>
    <xf numFmtId="49" fontId="10" fillId="0" borderId="14" xfId="0" applyNumberFormat="1" applyFont="1" applyFill="1" applyBorder="1" applyAlignment="1">
      <alignment horizontal="center" vertical="center" wrapText="1" readingOrder="1"/>
    </xf>
    <xf numFmtId="0" fontId="10" fillId="0" borderId="12" xfId="0" applyFont="1" applyFill="1" applyBorder="1" applyAlignment="1">
      <alignment horizontal="center" vertical="center" readingOrder="1"/>
    </xf>
    <xf numFmtId="197" fontId="9" fillId="0" borderId="12" xfId="0" applyNumberFormat="1" applyFont="1" applyFill="1" applyBorder="1" applyAlignment="1">
      <alignment horizontal="right" vertical="center" readingOrder="1"/>
    </xf>
    <xf numFmtId="49" fontId="21" fillId="0" borderId="14" xfId="0" applyNumberFormat="1" applyFont="1" applyFill="1" applyBorder="1" applyAlignment="1">
      <alignment horizontal="center" vertical="center" wrapText="1" readingOrder="1"/>
    </xf>
    <xf numFmtId="0" fontId="21" fillId="0" borderId="12" xfId="0" applyFont="1" applyFill="1" applyBorder="1" applyAlignment="1">
      <alignment horizontal="center" vertical="center" readingOrder="1"/>
    </xf>
    <xf numFmtId="197" fontId="17" fillId="0" borderId="12" xfId="0" applyNumberFormat="1" applyFont="1" applyFill="1" applyBorder="1" applyAlignment="1">
      <alignment horizontal="right" vertical="center" readingOrder="1"/>
    </xf>
    <xf numFmtId="0" fontId="10" fillId="0" borderId="12" xfId="0" applyFont="1" applyFill="1" applyBorder="1" applyAlignment="1">
      <alignment horizontal="center" vertical="center" wrapText="1" readingOrder="1"/>
    </xf>
    <xf numFmtId="197" fontId="17" fillId="0" borderId="12" xfId="0" applyNumberFormat="1" applyFont="1" applyFill="1" applyBorder="1" applyAlignment="1">
      <alignment vertical="center" readingOrder="1"/>
    </xf>
    <xf numFmtId="0" fontId="21" fillId="0" borderId="12" xfId="0" applyFont="1" applyFill="1" applyBorder="1" applyAlignment="1">
      <alignment horizontal="center" vertical="center" wrapText="1" readingOrder="1"/>
    </xf>
    <xf numFmtId="0" fontId="21" fillId="0" borderId="17" xfId="0" applyFont="1" applyFill="1" applyBorder="1" applyAlignment="1">
      <alignment horizontal="center" vertical="center" wrapText="1" readingOrder="1"/>
    </xf>
    <xf numFmtId="197" fontId="17" fillId="0" borderId="17" xfId="0" applyNumberFormat="1" applyFont="1" applyFill="1" applyBorder="1" applyAlignment="1">
      <alignment vertical="center" readingOrder="1"/>
    </xf>
    <xf numFmtId="3" fontId="9" fillId="0" borderId="14" xfId="0" applyNumberFormat="1" applyFont="1" applyBorder="1" applyAlignment="1">
      <alignment horizontal="right" vertical="center"/>
    </xf>
    <xf numFmtId="3" fontId="17" fillId="0" borderId="14" xfId="0" applyNumberFormat="1" applyFont="1" applyBorder="1" applyAlignment="1">
      <alignment horizontal="right" vertical="center"/>
    </xf>
    <xf numFmtId="197" fontId="9" fillId="0" borderId="12" xfId="0" applyNumberFormat="1" applyFont="1" applyBorder="1" applyAlignment="1">
      <alignment horizontal="right" vertical="center"/>
    </xf>
    <xf numFmtId="197" fontId="17" fillId="0" borderId="12" xfId="0" applyNumberFormat="1" applyFont="1" applyBorder="1" applyAlignment="1">
      <alignment horizontal="right" vertical="center"/>
    </xf>
    <xf numFmtId="3" fontId="17" fillId="0" borderId="12" xfId="0" applyNumberFormat="1" applyFont="1" applyBorder="1" applyAlignment="1">
      <alignment horizontal="right" vertical="center"/>
    </xf>
    <xf numFmtId="185" fontId="17" fillId="0" borderId="12" xfId="66" applyNumberFormat="1" applyFont="1" applyFill="1" applyBorder="1" applyAlignment="1">
      <alignment vertical="center" readingOrder="1"/>
    </xf>
    <xf numFmtId="3" fontId="40" fillId="0" borderId="17" xfId="0" applyNumberFormat="1" applyFont="1" applyFill="1" applyBorder="1" applyAlignment="1">
      <alignment vertical="center" readingOrder="1"/>
    </xf>
    <xf numFmtId="191" fontId="9" fillId="0" borderId="10" xfId="0" applyNumberFormat="1" applyFont="1" applyFill="1" applyBorder="1" applyAlignment="1">
      <alignment vertical="center" readingOrder="1"/>
    </xf>
    <xf numFmtId="191" fontId="9" fillId="0" borderId="17" xfId="0" applyNumberFormat="1" applyFont="1" applyFill="1" applyBorder="1" applyAlignment="1">
      <alignment vertical="center" readingOrder="1"/>
    </xf>
    <xf numFmtId="49" fontId="8" fillId="0" borderId="11" xfId="0" applyNumberFormat="1" applyFont="1" applyFill="1" applyBorder="1" applyAlignment="1">
      <alignment horizontal="right" vertical="center" wrapText="1" readingOrder="1"/>
    </xf>
    <xf numFmtId="3" fontId="9" fillId="0" borderId="13" xfId="0" applyNumberFormat="1" applyFont="1" applyFill="1" applyBorder="1" applyAlignment="1">
      <alignment horizontal="right" vertical="center" readingOrder="1"/>
    </xf>
    <xf numFmtId="3" fontId="17" fillId="0" borderId="13" xfId="0" applyNumberFormat="1" applyFont="1" applyFill="1" applyBorder="1" applyAlignment="1">
      <alignment horizontal="right" vertical="center" readingOrder="1"/>
    </xf>
    <xf numFmtId="3" fontId="17" fillId="0" borderId="11" xfId="0" applyNumberFormat="1" applyFont="1" applyFill="1" applyBorder="1" applyAlignment="1">
      <alignment horizontal="right" vertical="center" readingOrder="1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vertical="center" wrapText="1" readingOrder="1"/>
    </xf>
    <xf numFmtId="0" fontId="0" fillId="0" borderId="0" xfId="0" applyFont="1" applyFill="1" applyAlignment="1">
      <alignment vertical="center" readingOrder="1"/>
    </xf>
    <xf numFmtId="3" fontId="9" fillId="0" borderId="12" xfId="0" applyNumberFormat="1" applyFont="1" applyFill="1" applyBorder="1" applyAlignment="1">
      <alignment horizontal="right" vertical="center" readingOrder="1"/>
    </xf>
    <xf numFmtId="191" fontId="17" fillId="0" borderId="12" xfId="42" applyNumberFormat="1" applyFont="1" applyFill="1" applyBorder="1" applyAlignment="1">
      <alignment horizontal="right" vertical="center" readingOrder="1"/>
    </xf>
    <xf numFmtId="0" fontId="9" fillId="0" borderId="14" xfId="0" applyFont="1" applyFill="1" applyBorder="1" applyAlignment="1">
      <alignment vertical="center" wrapText="1" readingOrder="1"/>
    </xf>
    <xf numFmtId="0" fontId="5" fillId="0" borderId="17" xfId="0" applyFont="1" applyFill="1" applyBorder="1" applyAlignment="1">
      <alignment vertical="center" wrapText="1" readingOrder="1"/>
    </xf>
    <xf numFmtId="191" fontId="9" fillId="0" borderId="17" xfId="42" applyNumberFormat="1" applyFont="1" applyFill="1" applyBorder="1" applyAlignment="1">
      <alignment vertical="center" wrapText="1" readingOrder="1"/>
    </xf>
    <xf numFmtId="191" fontId="17" fillId="0" borderId="11" xfId="42" applyNumberFormat="1" applyFont="1" applyFill="1" applyBorder="1" applyAlignment="1">
      <alignment vertical="center" wrapText="1" readingOrder="1"/>
    </xf>
    <xf numFmtId="0" fontId="0" fillId="0" borderId="0" xfId="0" applyFont="1" applyBorder="1" applyAlignment="1">
      <alignment vertical="center" readingOrder="1"/>
    </xf>
    <xf numFmtId="0" fontId="0" fillId="0" borderId="0" xfId="0" applyFont="1" applyAlignment="1">
      <alignment vertical="center" readingOrder="1"/>
    </xf>
    <xf numFmtId="0" fontId="0" fillId="0" borderId="0" xfId="0" applyFont="1" applyAlignment="1">
      <alignment horizontal="center" vertical="center" readingOrder="1"/>
    </xf>
    <xf numFmtId="0" fontId="8" fillId="0" borderId="11" xfId="0" applyFont="1" applyFill="1" applyBorder="1" applyAlignment="1">
      <alignment horizontal="left" vertical="center" wrapText="1" readingOrder="1"/>
    </xf>
    <xf numFmtId="3" fontId="9" fillId="0" borderId="0" xfId="42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left" vertical="center" wrapText="1" readingOrder="1"/>
    </xf>
    <xf numFmtId="191" fontId="9" fillId="0" borderId="13" xfId="42" applyNumberFormat="1" applyFont="1" applyFill="1" applyBorder="1" applyAlignment="1">
      <alignment horizontal="right" vertical="center" readingOrder="1"/>
    </xf>
    <xf numFmtId="3" fontId="17" fillId="0" borderId="21" xfId="42" applyNumberFormat="1" applyFont="1" applyFill="1" applyBorder="1" applyAlignment="1">
      <alignment horizontal="right" vertical="center" readingOrder="1"/>
    </xf>
    <xf numFmtId="0" fontId="22" fillId="0" borderId="21" xfId="0" applyFont="1" applyFill="1" applyBorder="1" applyAlignment="1">
      <alignment horizontal="center" vertical="center" wrapText="1" readingOrder="1"/>
    </xf>
    <xf numFmtId="3" fontId="40" fillId="0" borderId="13" xfId="0" applyNumberFormat="1" applyFont="1" applyFill="1" applyBorder="1" applyAlignment="1">
      <alignment vertical="center" readingOrder="1"/>
    </xf>
    <xf numFmtId="0" fontId="8" fillId="0" borderId="15" xfId="0" applyFont="1" applyFill="1" applyBorder="1" applyAlignment="1">
      <alignment horizontal="right" vertical="center"/>
    </xf>
    <xf numFmtId="3" fontId="9" fillId="0" borderId="12" xfId="42" applyNumberFormat="1" applyFont="1" applyFill="1" applyBorder="1" applyAlignment="1">
      <alignment vertical="center" wrapText="1" readingOrder="1"/>
    </xf>
    <xf numFmtId="191" fontId="9" fillId="0" borderId="14" xfId="42" applyNumberFormat="1" applyFont="1" applyFill="1" applyBorder="1" applyAlignment="1">
      <alignment vertical="center" wrapText="1" readingOrder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 readingOrder="1"/>
    </xf>
    <xf numFmtId="0" fontId="12" fillId="0" borderId="11" xfId="0" applyFont="1" applyBorder="1" applyAlignment="1">
      <alignment horizontal="center" vertical="center" wrapText="1" readingOrder="1"/>
    </xf>
    <xf numFmtId="0" fontId="12" fillId="0" borderId="23" xfId="0" applyFont="1" applyBorder="1" applyAlignment="1">
      <alignment horizontal="center" vertical="center" wrapText="1" readingOrder="1"/>
    </xf>
    <xf numFmtId="0" fontId="8" fillId="0" borderId="11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textRotation="90" readingOrder="1"/>
    </xf>
    <xf numFmtId="0" fontId="14" fillId="0" borderId="25" xfId="0" applyFont="1" applyFill="1" applyBorder="1" applyAlignment="1">
      <alignment horizontal="center" vertical="center" textRotation="90" readingOrder="1"/>
    </xf>
    <xf numFmtId="0" fontId="14" fillId="0" borderId="26" xfId="0" applyFont="1" applyFill="1" applyBorder="1" applyAlignment="1">
      <alignment horizontal="center" vertical="center" textRotation="90" readingOrder="1"/>
    </xf>
    <xf numFmtId="0" fontId="8" fillId="0" borderId="24" xfId="0" applyFont="1" applyFill="1" applyBorder="1" applyAlignment="1">
      <alignment horizontal="center" vertical="center" textRotation="90" wrapText="1" readingOrder="1"/>
    </xf>
    <xf numFmtId="0" fontId="8" fillId="0" borderId="25" xfId="0" applyFont="1" applyFill="1" applyBorder="1" applyAlignment="1">
      <alignment horizontal="center" vertical="center" textRotation="90" wrapText="1" readingOrder="1"/>
    </xf>
    <xf numFmtId="0" fontId="8" fillId="0" borderId="26" xfId="0" applyFont="1" applyFill="1" applyBorder="1" applyAlignment="1">
      <alignment horizontal="center" vertical="center" textRotation="90" wrapText="1" readingOrder="1"/>
    </xf>
    <xf numFmtId="0" fontId="8" fillId="0" borderId="24" xfId="0" applyFont="1" applyFill="1" applyBorder="1" applyAlignment="1">
      <alignment horizontal="center" vertical="center" textRotation="90" readingOrder="1"/>
    </xf>
    <xf numFmtId="0" fontId="8" fillId="0" borderId="25" xfId="0" applyFont="1" applyFill="1" applyBorder="1" applyAlignment="1">
      <alignment horizontal="center" vertical="center" textRotation="90" readingOrder="1"/>
    </xf>
    <xf numFmtId="0" fontId="8" fillId="0" borderId="26" xfId="0" applyFont="1" applyFill="1" applyBorder="1" applyAlignment="1">
      <alignment horizontal="center" vertical="center" textRotation="90" readingOrder="1"/>
    </xf>
    <xf numFmtId="0" fontId="14" fillId="0" borderId="24" xfId="0" applyFont="1" applyFill="1" applyBorder="1" applyAlignment="1">
      <alignment horizontal="center" vertical="center" textRotation="90"/>
    </xf>
    <xf numFmtId="0" fontId="14" fillId="0" borderId="25" xfId="0" applyFont="1" applyFill="1" applyBorder="1" applyAlignment="1">
      <alignment horizontal="center" vertical="center" textRotation="90"/>
    </xf>
    <xf numFmtId="0" fontId="14" fillId="0" borderId="26" xfId="0" applyFont="1" applyFill="1" applyBorder="1" applyAlignment="1">
      <alignment horizontal="center" vertical="center" textRotation="90"/>
    </xf>
    <xf numFmtId="0" fontId="8" fillId="0" borderId="27" xfId="63" applyFont="1" applyFill="1" applyBorder="1" applyAlignment="1">
      <alignment horizontal="center" vertical="center" textRotation="90"/>
      <protection/>
    </xf>
    <xf numFmtId="0" fontId="8" fillId="0" borderId="28" xfId="63" applyFont="1" applyFill="1" applyBorder="1" applyAlignment="1">
      <alignment horizontal="center" vertical="center" textRotation="90"/>
      <protection/>
    </xf>
    <xf numFmtId="0" fontId="8" fillId="0" borderId="29" xfId="63" applyFont="1" applyFill="1" applyBorder="1" applyAlignment="1">
      <alignment horizontal="center" vertical="center" textRotation="90"/>
      <protection/>
    </xf>
    <xf numFmtId="0" fontId="8" fillId="0" borderId="24" xfId="63" applyFont="1" applyFill="1" applyBorder="1" applyAlignment="1">
      <alignment horizontal="center" vertical="center" textRotation="90" readingOrder="1"/>
      <protection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8" fillId="0" borderId="25" xfId="63" applyFont="1" applyFill="1" applyBorder="1" applyAlignment="1">
      <alignment horizontal="center" vertical="center" textRotation="90" readingOrder="1"/>
      <protection/>
    </xf>
    <xf numFmtId="0" fontId="8" fillId="0" borderId="26" xfId="63" applyFont="1" applyFill="1" applyBorder="1" applyAlignment="1">
      <alignment horizontal="center" vertical="center" textRotation="90" readingOrder="1"/>
      <protection/>
    </xf>
    <xf numFmtId="0" fontId="8" fillId="0" borderId="30" xfId="63" applyFont="1" applyFill="1" applyBorder="1" applyAlignment="1">
      <alignment horizontal="center" vertical="center" textRotation="90" wrapText="1"/>
      <protection/>
    </xf>
    <xf numFmtId="0" fontId="8" fillId="0" borderId="30" xfId="63" applyFont="1" applyFill="1" applyBorder="1" applyAlignment="1">
      <alignment horizontal="center" vertical="center" textRotation="90" wrapText="1" readingOrder="1"/>
      <protection/>
    </xf>
    <xf numFmtId="0" fontId="8" fillId="0" borderId="24" xfId="63" applyFont="1" applyFill="1" applyBorder="1" applyAlignment="1">
      <alignment horizontal="center" vertical="center" textRotation="90" wrapText="1" readingOrder="1"/>
      <protection/>
    </xf>
    <xf numFmtId="0" fontId="8" fillId="0" borderId="25" xfId="63" applyFont="1" applyFill="1" applyBorder="1" applyAlignment="1">
      <alignment horizontal="center" vertical="center" textRotation="90" wrapText="1" readingOrder="1"/>
      <protection/>
    </xf>
    <xf numFmtId="0" fontId="8" fillId="0" borderId="26" xfId="63" applyFont="1" applyFill="1" applyBorder="1" applyAlignment="1">
      <alignment horizontal="center" vertical="center" textRotation="90" wrapText="1" readingOrder="1"/>
      <protection/>
    </xf>
    <xf numFmtId="0" fontId="13" fillId="0" borderId="24" xfId="0" applyFont="1" applyFill="1" applyBorder="1" applyAlignment="1">
      <alignment horizontal="center" vertical="center" textRotation="90" wrapText="1" readingOrder="1"/>
    </xf>
    <xf numFmtId="0" fontId="13" fillId="0" borderId="25" xfId="0" applyFont="1" applyFill="1" applyBorder="1" applyAlignment="1">
      <alignment horizontal="center" vertical="center" textRotation="90" wrapText="1" readingOrder="1"/>
    </xf>
    <xf numFmtId="0" fontId="13" fillId="0" borderId="26" xfId="0" applyFont="1" applyFill="1" applyBorder="1" applyAlignment="1">
      <alignment horizontal="center" vertical="center" textRotation="90" wrapText="1" readingOrder="1"/>
    </xf>
    <xf numFmtId="0" fontId="14" fillId="0" borderId="24" xfId="0" applyFont="1" applyFill="1" applyBorder="1" applyAlignment="1">
      <alignment horizontal="center" vertical="center" textRotation="90" wrapText="1" readingOrder="1"/>
    </xf>
    <xf numFmtId="0" fontId="14" fillId="0" borderId="25" xfId="0" applyFont="1" applyFill="1" applyBorder="1" applyAlignment="1">
      <alignment horizontal="center" vertical="center" textRotation="90" wrapText="1" readingOrder="1"/>
    </xf>
    <xf numFmtId="0" fontId="14" fillId="0" borderId="26" xfId="0" applyFont="1" applyFill="1" applyBorder="1" applyAlignment="1">
      <alignment horizontal="center" vertical="center" textRotation="90" wrapText="1" readingOrder="1"/>
    </xf>
    <xf numFmtId="0" fontId="8" fillId="0" borderId="11" xfId="0" applyFont="1" applyFill="1" applyBorder="1" applyAlignment="1">
      <alignment horizontal="center" vertical="center" readingOrder="1"/>
    </xf>
    <xf numFmtId="0" fontId="8" fillId="0" borderId="11" xfId="0" applyFont="1" applyFill="1" applyBorder="1" applyAlignment="1">
      <alignment horizontal="center" vertical="center" wrapText="1" readingOrder="1"/>
    </xf>
    <xf numFmtId="49" fontId="8" fillId="0" borderId="11" xfId="0" applyNumberFormat="1" applyFont="1" applyFill="1" applyBorder="1" applyAlignment="1">
      <alignment horizontal="center" vertical="center" wrapText="1" readingOrder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vertical="center" wrapText="1" readingOrder="1"/>
    </xf>
    <xf numFmtId="49" fontId="5" fillId="0" borderId="14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 vertical="center" wrapText="1" readingOrder="1"/>
    </xf>
    <xf numFmtId="49" fontId="5" fillId="0" borderId="10" xfId="0" applyNumberFormat="1" applyFont="1" applyFill="1" applyBorder="1" applyAlignment="1">
      <alignment vertical="center" wrapText="1" readingOrder="1"/>
    </xf>
    <xf numFmtId="49" fontId="5" fillId="0" borderId="10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 vertical="center" wrapText="1" readingOrder="1"/>
    </xf>
    <xf numFmtId="49" fontId="5" fillId="0" borderId="12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vertical="center" wrapText="1" readingOrder="1"/>
    </xf>
    <xf numFmtId="49" fontId="5" fillId="0" borderId="13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 readingOrder="1"/>
    </xf>
    <xf numFmtId="0" fontId="5" fillId="0" borderId="10" xfId="0" applyFont="1" applyFill="1" applyBorder="1" applyAlignment="1">
      <alignment horizontal="left" vertical="center" wrapText="1" readingOrder="1"/>
    </xf>
    <xf numFmtId="49" fontId="5" fillId="0" borderId="0" xfId="0" applyNumberFormat="1" applyFont="1" applyFill="1" applyBorder="1" applyAlignment="1">
      <alignment horizontal="left" vertical="center" wrapText="1" readingOrder="1"/>
    </xf>
    <xf numFmtId="49" fontId="8" fillId="0" borderId="11" xfId="0" applyNumberFormat="1" applyFont="1" applyFill="1" applyBorder="1" applyAlignment="1">
      <alignment vertical="center" wrapText="1" readingOrder="1"/>
    </xf>
    <xf numFmtId="49" fontId="5" fillId="0" borderId="11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horizontal="center" vertical="center" wrapText="1" readingOrder="1"/>
    </xf>
    <xf numFmtId="49" fontId="8" fillId="0" borderId="12" xfId="0" applyNumberFormat="1" applyFont="1" applyFill="1" applyBorder="1" applyAlignment="1">
      <alignment horizontal="center" vertical="center" wrapText="1" readingOrder="1"/>
    </xf>
    <xf numFmtId="0" fontId="8" fillId="0" borderId="15" xfId="0" applyFont="1" applyFill="1" applyBorder="1" applyAlignment="1">
      <alignment horizontal="center" vertical="center" readingOrder="1"/>
    </xf>
    <xf numFmtId="49" fontId="8" fillId="0" borderId="14" xfId="0" applyNumberFormat="1" applyFont="1" applyFill="1" applyBorder="1" applyAlignment="1">
      <alignment horizontal="center" vertical="center" readingOrder="1"/>
    </xf>
    <xf numFmtId="49" fontId="8" fillId="0" borderId="12" xfId="0" applyNumberFormat="1" applyFont="1" applyFill="1" applyBorder="1" applyAlignment="1">
      <alignment horizontal="center" vertical="center" readingOrder="1"/>
    </xf>
    <xf numFmtId="49" fontId="8" fillId="0" borderId="17" xfId="0" applyNumberFormat="1" applyFont="1" applyFill="1" applyBorder="1" applyAlignment="1">
      <alignment horizontal="center" vertical="center" wrapText="1" readingOrder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5" xfId="60"/>
    <cellStyle name="Normal 6" xfId="61"/>
    <cellStyle name="Normal_page_48_49" xfId="62"/>
    <cellStyle name="Normal_page_50_5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K13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0" width="9.140625" style="236" customWidth="1"/>
    <col min="11" max="14" width="9.140625" style="235" customWidth="1"/>
    <col min="15" max="16384" width="9.140625" style="236" customWidth="1"/>
  </cols>
  <sheetData>
    <row r="1" spans="1:11" ht="26.25" thickBot="1">
      <c r="A1" s="250" t="s">
        <v>158</v>
      </c>
      <c r="B1" s="251"/>
      <c r="C1" s="251"/>
      <c r="D1" s="251"/>
      <c r="E1" s="251"/>
      <c r="F1" s="251"/>
      <c r="G1" s="251"/>
      <c r="H1" s="251"/>
      <c r="I1" s="251"/>
      <c r="J1" s="251"/>
      <c r="K1" s="252"/>
    </row>
    <row r="13" ht="12.75">
      <c r="J13" s="237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H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7109375" style="2" customWidth="1"/>
    <col min="2" max="5" width="13.57421875" style="2" customWidth="1"/>
    <col min="6" max="6" width="14.8515625" style="2" customWidth="1"/>
    <col min="7" max="8" width="14.00390625" style="2" customWidth="1"/>
    <col min="9" max="9" width="11.7109375" style="2" customWidth="1"/>
    <col min="10" max="10" width="9.140625" style="2" customWidth="1"/>
    <col min="11" max="11" width="12.57421875" style="2" customWidth="1"/>
    <col min="12" max="12" width="9.140625" style="2" customWidth="1"/>
    <col min="13" max="13" width="12.00390625" style="2" customWidth="1"/>
    <col min="14" max="14" width="10.7109375" style="2" customWidth="1"/>
    <col min="15" max="15" width="11.8515625" style="2" customWidth="1"/>
    <col min="16" max="16384" width="9.140625" style="2" customWidth="1"/>
  </cols>
  <sheetData>
    <row r="1" spans="1:5" s="3" customFormat="1" ht="19.5" customHeight="1">
      <c r="A1" s="4" t="s">
        <v>145</v>
      </c>
      <c r="B1" s="4"/>
      <c r="C1" s="4"/>
      <c r="D1" s="4"/>
      <c r="E1" s="4"/>
    </row>
    <row r="2" ht="6.75" customHeight="1" thickBot="1"/>
    <row r="3" spans="1:7" s="3" customFormat="1" ht="13.5" customHeight="1" thickBot="1">
      <c r="A3" s="80" t="s">
        <v>64</v>
      </c>
      <c r="B3" s="152">
        <v>2006</v>
      </c>
      <c r="C3" s="152">
        <v>2007</v>
      </c>
      <c r="D3" s="152">
        <v>2008</v>
      </c>
      <c r="E3" s="152">
        <v>2009</v>
      </c>
      <c r="F3" s="152">
        <v>2011</v>
      </c>
      <c r="G3" s="152">
        <v>2012</v>
      </c>
    </row>
    <row r="4" spans="1:7" ht="15.75" customHeight="1">
      <c r="A4" s="153" t="s">
        <v>65</v>
      </c>
      <c r="B4" s="154">
        <v>8353</v>
      </c>
      <c r="C4" s="154">
        <v>8480</v>
      </c>
      <c r="D4" s="154">
        <v>11529</v>
      </c>
      <c r="E4" s="154">
        <v>11992</v>
      </c>
      <c r="F4" s="154">
        <v>15177</v>
      </c>
      <c r="G4" s="154">
        <v>15052</v>
      </c>
    </row>
    <row r="5" spans="1:7" ht="15.75" customHeight="1" thickBot="1">
      <c r="A5" s="155" t="s">
        <v>66</v>
      </c>
      <c r="B5" s="156">
        <v>1038</v>
      </c>
      <c r="C5" s="156">
        <v>846</v>
      </c>
      <c r="D5" s="156">
        <v>797</v>
      </c>
      <c r="E5" s="156">
        <v>925</v>
      </c>
      <c r="F5" s="156">
        <v>966</v>
      </c>
      <c r="G5" s="156">
        <v>1001</v>
      </c>
    </row>
    <row r="6" spans="1:7" ht="15.75" customHeight="1" thickBot="1">
      <c r="A6" s="73" t="s">
        <v>0</v>
      </c>
      <c r="B6" s="157">
        <v>9391</v>
      </c>
      <c r="C6" s="157">
        <v>9326</v>
      </c>
      <c r="D6" s="157">
        <v>12326</v>
      </c>
      <c r="E6" s="157">
        <v>12917</v>
      </c>
      <c r="F6" s="157">
        <f>SUM(F4:F5)</f>
        <v>16143</v>
      </c>
      <c r="G6" s="157">
        <f>SUM(G4:G5)</f>
        <v>16053</v>
      </c>
    </row>
    <row r="7" spans="1:2" s="3" customFormat="1" ht="12.75">
      <c r="A7" s="130" t="s">
        <v>63</v>
      </c>
      <c r="B7" s="16"/>
    </row>
    <row r="9" spans="1:5" s="3" customFormat="1" ht="19.5" customHeight="1">
      <c r="A9" s="4" t="s">
        <v>146</v>
      </c>
      <c r="B9" s="4"/>
      <c r="C9" s="4"/>
      <c r="D9" s="4"/>
      <c r="E9" s="4"/>
    </row>
    <row r="10" s="3" customFormat="1" ht="6.75" customHeight="1" thickBot="1">
      <c r="B10" s="16"/>
    </row>
    <row r="11" spans="1:8" s="3" customFormat="1" ht="13.5" customHeight="1" thickBot="1">
      <c r="A11" s="5"/>
      <c r="B11" s="158">
        <v>2006</v>
      </c>
      <c r="C11" s="158">
        <v>2007</v>
      </c>
      <c r="D11" s="158">
        <v>2008</v>
      </c>
      <c r="E11" s="158">
        <v>2009</v>
      </c>
      <c r="F11" s="158">
        <v>2010</v>
      </c>
      <c r="G11" s="158">
        <v>2011</v>
      </c>
      <c r="H11" s="158">
        <v>2012</v>
      </c>
    </row>
    <row r="12" spans="1:8" s="3" customFormat="1" ht="13.5" thickBot="1">
      <c r="A12" s="286" t="s">
        <v>64</v>
      </c>
      <c r="B12" s="286"/>
      <c r="C12" s="286"/>
      <c r="D12" s="286"/>
      <c r="E12" s="286"/>
      <c r="F12" s="286"/>
      <c r="G12" s="286"/>
      <c r="H12" s="286"/>
    </row>
    <row r="13" spans="1:8" s="3" customFormat="1" ht="15.75" customHeight="1" thickBot="1">
      <c r="A13" s="243" t="s">
        <v>67</v>
      </c>
      <c r="B13" s="160">
        <f aca="true" t="shared" si="0" ref="B13:H13">SUM(B14:B26)</f>
        <v>8253</v>
      </c>
      <c r="C13" s="160">
        <f t="shared" si="0"/>
        <v>8480</v>
      </c>
      <c r="D13" s="160">
        <f t="shared" si="0"/>
        <v>11529</v>
      </c>
      <c r="E13" s="160">
        <f t="shared" si="0"/>
        <v>11992</v>
      </c>
      <c r="F13" s="160">
        <f t="shared" si="0"/>
        <v>14638</v>
      </c>
      <c r="G13" s="160">
        <f t="shared" si="0"/>
        <v>15177</v>
      </c>
      <c r="H13" s="160">
        <f t="shared" si="0"/>
        <v>15052</v>
      </c>
    </row>
    <row r="14" spans="1:8" s="3" customFormat="1" ht="15.75" customHeight="1">
      <c r="A14" s="110" t="s">
        <v>68</v>
      </c>
      <c r="B14" s="77">
        <v>52</v>
      </c>
      <c r="C14" s="77">
        <v>45</v>
      </c>
      <c r="D14" s="77">
        <v>67</v>
      </c>
      <c r="E14" s="77">
        <v>71</v>
      </c>
      <c r="F14" s="77">
        <v>74</v>
      </c>
      <c r="G14" s="77">
        <v>68</v>
      </c>
      <c r="H14" s="77">
        <v>67</v>
      </c>
    </row>
    <row r="15" spans="1:8" s="3" customFormat="1" ht="15.75" customHeight="1">
      <c r="A15" s="108" t="s">
        <v>69</v>
      </c>
      <c r="B15" s="161">
        <v>99</v>
      </c>
      <c r="C15" s="161">
        <v>109</v>
      </c>
      <c r="D15" s="161">
        <v>117</v>
      </c>
      <c r="E15" s="161">
        <v>118</v>
      </c>
      <c r="F15" s="161">
        <v>112</v>
      </c>
      <c r="G15" s="161">
        <v>121</v>
      </c>
      <c r="H15" s="161">
        <v>86</v>
      </c>
    </row>
    <row r="16" spans="1:8" s="3" customFormat="1" ht="15.75" customHeight="1">
      <c r="A16" s="108" t="s">
        <v>70</v>
      </c>
      <c r="B16" s="161">
        <v>3026</v>
      </c>
      <c r="C16" s="161">
        <v>2882</v>
      </c>
      <c r="D16" s="161">
        <v>4445</v>
      </c>
      <c r="E16" s="161">
        <v>4051</v>
      </c>
      <c r="F16" s="161">
        <v>4939</v>
      </c>
      <c r="G16" s="161">
        <v>4775</v>
      </c>
      <c r="H16" s="161">
        <v>4601</v>
      </c>
    </row>
    <row r="17" spans="1:8" s="3" customFormat="1" ht="15.75" customHeight="1">
      <c r="A17" s="108" t="s">
        <v>71</v>
      </c>
      <c r="B17" s="161">
        <v>103</v>
      </c>
      <c r="C17" s="161">
        <v>986</v>
      </c>
      <c r="D17" s="161">
        <v>2045</v>
      </c>
      <c r="E17" s="161">
        <v>1943</v>
      </c>
      <c r="F17" s="161">
        <v>2687</v>
      </c>
      <c r="G17" s="161">
        <v>2515</v>
      </c>
      <c r="H17" s="161">
        <v>2241</v>
      </c>
    </row>
    <row r="18" spans="1:8" s="3" customFormat="1" ht="15.75" customHeight="1">
      <c r="A18" s="108" t="s">
        <v>72</v>
      </c>
      <c r="B18" s="161">
        <v>208</v>
      </c>
      <c r="C18" s="161">
        <v>153</v>
      </c>
      <c r="D18" s="161">
        <v>308</v>
      </c>
      <c r="E18" s="161">
        <v>405</v>
      </c>
      <c r="F18" s="161">
        <v>418</v>
      </c>
      <c r="G18" s="161">
        <v>556</v>
      </c>
      <c r="H18" s="161">
        <v>582</v>
      </c>
    </row>
    <row r="19" spans="1:8" s="3" customFormat="1" ht="15.75" customHeight="1">
      <c r="A19" s="108" t="s">
        <v>73</v>
      </c>
      <c r="B19" s="161">
        <v>748</v>
      </c>
      <c r="C19" s="161">
        <v>751</v>
      </c>
      <c r="D19" s="161">
        <v>718</v>
      </c>
      <c r="E19" s="161">
        <v>1436</v>
      </c>
      <c r="F19" s="161">
        <v>1398</v>
      </c>
      <c r="G19" s="161">
        <v>1411</v>
      </c>
      <c r="H19" s="161">
        <v>1451</v>
      </c>
    </row>
    <row r="20" spans="1:8" s="3" customFormat="1" ht="15.75" customHeight="1">
      <c r="A20" s="108" t="s">
        <v>74</v>
      </c>
      <c r="B20" s="161">
        <v>1639</v>
      </c>
      <c r="C20" s="161">
        <v>1269</v>
      </c>
      <c r="D20" s="161">
        <v>1353</v>
      </c>
      <c r="E20" s="161">
        <v>1118</v>
      </c>
      <c r="F20" s="161">
        <v>1654</v>
      </c>
      <c r="G20" s="161">
        <v>1433</v>
      </c>
      <c r="H20" s="161">
        <v>1955</v>
      </c>
    </row>
    <row r="21" spans="1:8" s="3" customFormat="1" ht="15.75" customHeight="1">
      <c r="A21" s="108" t="s">
        <v>75</v>
      </c>
      <c r="B21" s="161">
        <v>679</v>
      </c>
      <c r="C21" s="161">
        <v>776</v>
      </c>
      <c r="D21" s="161">
        <v>797</v>
      </c>
      <c r="E21" s="161">
        <v>826</v>
      </c>
      <c r="F21" s="161">
        <v>928</v>
      </c>
      <c r="G21" s="161">
        <v>1136</v>
      </c>
      <c r="H21" s="161">
        <v>1230</v>
      </c>
    </row>
    <row r="22" spans="1:8" s="3" customFormat="1" ht="15.75" customHeight="1">
      <c r="A22" s="108" t="s">
        <v>76</v>
      </c>
      <c r="B22" s="161">
        <v>274</v>
      </c>
      <c r="C22" s="161">
        <v>239</v>
      </c>
      <c r="D22" s="161">
        <v>267</v>
      </c>
      <c r="E22" s="161">
        <v>278</v>
      </c>
      <c r="F22" s="161">
        <v>267</v>
      </c>
      <c r="G22" s="161">
        <v>268</v>
      </c>
      <c r="H22" s="161">
        <v>237</v>
      </c>
    </row>
    <row r="23" spans="1:8" s="3" customFormat="1" ht="15.75" customHeight="1">
      <c r="A23" s="108" t="s">
        <v>77</v>
      </c>
      <c r="B23" s="161">
        <v>63</v>
      </c>
      <c r="C23" s="161">
        <v>56</v>
      </c>
      <c r="D23" s="161">
        <v>55</v>
      </c>
      <c r="E23" s="161">
        <v>90</v>
      </c>
      <c r="F23" s="161">
        <v>149</v>
      </c>
      <c r="G23" s="161">
        <v>142</v>
      </c>
      <c r="H23" s="161">
        <v>132</v>
      </c>
    </row>
    <row r="24" spans="1:8" s="3" customFormat="1" ht="15.75" customHeight="1">
      <c r="A24" s="108" t="s">
        <v>78</v>
      </c>
      <c r="B24" s="161">
        <v>819</v>
      </c>
      <c r="C24" s="161">
        <v>986</v>
      </c>
      <c r="D24" s="161">
        <v>1116</v>
      </c>
      <c r="E24" s="161">
        <v>1349</v>
      </c>
      <c r="F24" s="161">
        <v>1557</v>
      </c>
      <c r="G24" s="161">
        <v>1874</v>
      </c>
      <c r="H24" s="161">
        <v>1912</v>
      </c>
    </row>
    <row r="25" spans="1:8" s="3" customFormat="1" ht="15.75" customHeight="1">
      <c r="A25" s="108" t="s">
        <v>79</v>
      </c>
      <c r="B25" s="161">
        <v>192</v>
      </c>
      <c r="C25" s="161">
        <v>218</v>
      </c>
      <c r="D25" s="161">
        <v>241</v>
      </c>
      <c r="E25" s="161">
        <v>307</v>
      </c>
      <c r="F25" s="161">
        <v>321</v>
      </c>
      <c r="G25" s="161">
        <v>358</v>
      </c>
      <c r="H25" s="161">
        <v>269</v>
      </c>
    </row>
    <row r="26" spans="1:8" s="3" customFormat="1" ht="15.75" customHeight="1" thickBot="1">
      <c r="A26" s="109" t="s">
        <v>80</v>
      </c>
      <c r="B26" s="78">
        <v>351</v>
      </c>
      <c r="C26" s="78">
        <v>10</v>
      </c>
      <c r="D26" s="78">
        <v>0</v>
      </c>
      <c r="E26" s="78">
        <v>0</v>
      </c>
      <c r="F26" s="78">
        <v>134</v>
      </c>
      <c r="G26" s="78">
        <f>480+40</f>
        <v>520</v>
      </c>
      <c r="H26" s="78">
        <f>263+26</f>
        <v>289</v>
      </c>
    </row>
    <row r="27" spans="1:8" s="3" customFormat="1" ht="15.75" customHeight="1" thickBot="1">
      <c r="A27" s="159" t="s">
        <v>81</v>
      </c>
      <c r="B27" s="162">
        <f aca="true" t="shared" si="1" ref="B27:G27">SUM(B28:B34)</f>
        <v>1038</v>
      </c>
      <c r="C27" s="162">
        <f t="shared" si="1"/>
        <v>846</v>
      </c>
      <c r="D27" s="162">
        <f t="shared" si="1"/>
        <v>797</v>
      </c>
      <c r="E27" s="162">
        <f t="shared" si="1"/>
        <v>925</v>
      </c>
      <c r="F27" s="162">
        <f t="shared" si="1"/>
        <v>998</v>
      </c>
      <c r="G27" s="162">
        <f t="shared" si="1"/>
        <v>966</v>
      </c>
      <c r="H27" s="162">
        <f>SUM(H28:H34)</f>
        <v>1001</v>
      </c>
    </row>
    <row r="28" spans="1:8" s="3" customFormat="1" ht="15.75" customHeight="1">
      <c r="A28" s="163" t="s">
        <v>82</v>
      </c>
      <c r="B28" s="89">
        <v>75</v>
      </c>
      <c r="C28" s="89">
        <v>89</v>
      </c>
      <c r="D28" s="89">
        <v>94</v>
      </c>
      <c r="E28" s="89">
        <v>64</v>
      </c>
      <c r="F28" s="89">
        <v>88</v>
      </c>
      <c r="G28" s="89">
        <v>78</v>
      </c>
      <c r="H28" s="89">
        <v>94</v>
      </c>
    </row>
    <row r="29" spans="1:8" s="3" customFormat="1" ht="15.75" customHeight="1">
      <c r="A29" s="164" t="s">
        <v>83</v>
      </c>
      <c r="B29" s="90">
        <v>148</v>
      </c>
      <c r="C29" s="90">
        <v>159</v>
      </c>
      <c r="D29" s="90">
        <v>168</v>
      </c>
      <c r="E29" s="90">
        <v>155</v>
      </c>
      <c r="F29" s="90">
        <v>221</v>
      </c>
      <c r="G29" s="90">
        <v>166</v>
      </c>
      <c r="H29" s="90">
        <v>147</v>
      </c>
    </row>
    <row r="30" spans="1:8" s="3" customFormat="1" ht="15.75" customHeight="1">
      <c r="A30" s="108" t="s">
        <v>84</v>
      </c>
      <c r="B30" s="90">
        <v>102</v>
      </c>
      <c r="C30" s="90">
        <v>83</v>
      </c>
      <c r="D30" s="90">
        <v>89</v>
      </c>
      <c r="E30" s="90">
        <v>116</v>
      </c>
      <c r="F30" s="90">
        <v>103</v>
      </c>
      <c r="G30" s="90">
        <v>113</v>
      </c>
      <c r="H30" s="90">
        <v>99</v>
      </c>
    </row>
    <row r="31" spans="1:8" s="3" customFormat="1" ht="15.75" customHeight="1">
      <c r="A31" s="164" t="s">
        <v>85</v>
      </c>
      <c r="B31" s="90">
        <v>459</v>
      </c>
      <c r="C31" s="90">
        <v>447</v>
      </c>
      <c r="D31" s="90">
        <v>413</v>
      </c>
      <c r="E31" s="90">
        <v>432</v>
      </c>
      <c r="F31" s="90">
        <v>315</v>
      </c>
      <c r="G31" s="90">
        <v>335</v>
      </c>
      <c r="H31" s="90">
        <v>276</v>
      </c>
    </row>
    <row r="32" spans="1:8" s="3" customFormat="1" ht="15.75" customHeight="1">
      <c r="A32" s="108" t="s">
        <v>86</v>
      </c>
      <c r="B32" s="90">
        <v>108</v>
      </c>
      <c r="C32" s="90">
        <v>51</v>
      </c>
      <c r="D32" s="90">
        <v>19</v>
      </c>
      <c r="E32" s="90">
        <v>75</v>
      </c>
      <c r="F32" s="90">
        <v>168</v>
      </c>
      <c r="G32" s="90">
        <v>179</v>
      </c>
      <c r="H32" s="90">
        <v>204</v>
      </c>
    </row>
    <row r="33" spans="1:8" s="3" customFormat="1" ht="15.75" customHeight="1">
      <c r="A33" s="108" t="s">
        <v>87</v>
      </c>
      <c r="B33" s="90">
        <v>29</v>
      </c>
      <c r="C33" s="90">
        <v>17</v>
      </c>
      <c r="D33" s="90">
        <v>14</v>
      </c>
      <c r="E33" s="90">
        <v>32</v>
      </c>
      <c r="F33" s="90">
        <v>34</v>
      </c>
      <c r="G33" s="90">
        <v>49</v>
      </c>
      <c r="H33" s="90">
        <v>46</v>
      </c>
    </row>
    <row r="34" spans="1:8" s="3" customFormat="1" ht="15.75" customHeight="1" thickBot="1">
      <c r="A34" s="109" t="s">
        <v>80</v>
      </c>
      <c r="B34" s="91">
        <v>117</v>
      </c>
      <c r="C34" s="91">
        <v>0</v>
      </c>
      <c r="D34" s="91">
        <v>0</v>
      </c>
      <c r="E34" s="91">
        <v>51</v>
      </c>
      <c r="F34" s="91">
        <v>69</v>
      </c>
      <c r="G34" s="91">
        <f>21+12+13</f>
        <v>46</v>
      </c>
      <c r="H34" s="91">
        <f>35+27+14+59</f>
        <v>135</v>
      </c>
    </row>
    <row r="35" spans="1:2" s="3" customFormat="1" ht="12.75">
      <c r="A35" s="130" t="s">
        <v>63</v>
      </c>
      <c r="B35" s="16"/>
    </row>
  </sheetData>
  <sheetProtection/>
  <mergeCells count="1">
    <mergeCell ref="A12:H1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J8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1.140625" style="2" customWidth="1"/>
    <col min="3" max="9" width="10.7109375" style="2" customWidth="1"/>
    <col min="10" max="16384" width="9.140625" style="2" customWidth="1"/>
  </cols>
  <sheetData>
    <row r="1" spans="1:10" s="3" customFormat="1" ht="19.5" customHeight="1">
      <c r="A1" s="4" t="s">
        <v>147</v>
      </c>
      <c r="B1" s="165"/>
      <c r="C1" s="165"/>
      <c r="D1" s="165"/>
      <c r="E1" s="165"/>
      <c r="F1" s="165"/>
      <c r="G1" s="165"/>
      <c r="H1" s="165"/>
      <c r="I1" s="165"/>
      <c r="J1" s="166"/>
    </row>
    <row r="2" s="3" customFormat="1" ht="6.75" customHeight="1" thickBot="1">
      <c r="B2" s="16"/>
    </row>
    <row r="3" spans="1:9" s="3" customFormat="1" ht="13.5" customHeight="1" thickBot="1">
      <c r="A3" s="253">
        <v>2006</v>
      </c>
      <c r="B3" s="253"/>
      <c r="C3" s="253"/>
      <c r="D3" s="253"/>
      <c r="E3" s="253"/>
      <c r="F3" s="253"/>
      <c r="G3" s="253"/>
      <c r="H3" s="253"/>
      <c r="I3" s="253"/>
    </row>
    <row r="4" spans="1:10" s="3" customFormat="1" ht="26.25" thickBot="1">
      <c r="A4" s="286" t="s">
        <v>88</v>
      </c>
      <c r="B4" s="286"/>
      <c r="C4" s="167" t="s">
        <v>17</v>
      </c>
      <c r="D4" s="167" t="s">
        <v>26</v>
      </c>
      <c r="E4" s="167" t="s">
        <v>20</v>
      </c>
      <c r="F4" s="167" t="s">
        <v>21</v>
      </c>
      <c r="G4" s="167" t="s">
        <v>40</v>
      </c>
      <c r="H4" s="167" t="s">
        <v>0</v>
      </c>
      <c r="I4" s="167" t="s">
        <v>89</v>
      </c>
      <c r="J4" s="168"/>
    </row>
    <row r="5" spans="1:10" s="3" customFormat="1" ht="19.5" customHeight="1">
      <c r="A5" s="292" t="s">
        <v>90</v>
      </c>
      <c r="B5" s="296"/>
      <c r="C5" s="161">
        <v>3</v>
      </c>
      <c r="D5" s="161">
        <v>682</v>
      </c>
      <c r="E5" s="90">
        <v>213</v>
      </c>
      <c r="F5" s="90">
        <v>291</v>
      </c>
      <c r="G5" s="90">
        <v>311</v>
      </c>
      <c r="H5" s="161">
        <v>1500</v>
      </c>
      <c r="I5" s="169">
        <v>44.869877355668564</v>
      </c>
      <c r="J5" s="168"/>
    </row>
    <row r="6" spans="1:9" s="3" customFormat="1" ht="19.5" customHeight="1">
      <c r="A6" s="291" t="s">
        <v>91</v>
      </c>
      <c r="B6" s="291"/>
      <c r="C6" s="161">
        <v>78</v>
      </c>
      <c r="D6" s="161">
        <v>602</v>
      </c>
      <c r="E6" s="90">
        <v>89</v>
      </c>
      <c r="F6" s="90">
        <v>228</v>
      </c>
      <c r="G6" s="90">
        <v>143</v>
      </c>
      <c r="H6" s="161">
        <v>1140</v>
      </c>
      <c r="I6" s="169">
        <v>34.10110679030811</v>
      </c>
    </row>
    <row r="7" spans="1:9" s="3" customFormat="1" ht="19.5" customHeight="1">
      <c r="A7" s="297" t="s">
        <v>92</v>
      </c>
      <c r="B7" s="298"/>
      <c r="C7" s="171">
        <v>60</v>
      </c>
      <c r="D7" s="171">
        <v>375</v>
      </c>
      <c r="E7" s="172">
        <v>38</v>
      </c>
      <c r="F7" s="172">
        <v>73</v>
      </c>
      <c r="G7" s="172">
        <v>24</v>
      </c>
      <c r="H7" s="171">
        <v>570</v>
      </c>
      <c r="I7" s="173">
        <v>17.050553395154054</v>
      </c>
    </row>
    <row r="8" spans="1:9" s="3" customFormat="1" ht="19.5" customHeight="1" thickBot="1">
      <c r="A8" s="294" t="s">
        <v>93</v>
      </c>
      <c r="B8" s="299"/>
      <c r="C8" s="78">
        <v>0</v>
      </c>
      <c r="D8" s="78">
        <v>26</v>
      </c>
      <c r="E8" s="91">
        <v>37</v>
      </c>
      <c r="F8" s="91">
        <v>34</v>
      </c>
      <c r="G8" s="91">
        <v>36</v>
      </c>
      <c r="H8" s="78">
        <v>133</v>
      </c>
      <c r="I8" s="174">
        <v>3.978462458869279</v>
      </c>
    </row>
    <row r="9" spans="1:9" s="3" customFormat="1" ht="19.5" customHeight="1" thickBot="1">
      <c r="A9" s="287" t="s">
        <v>164</v>
      </c>
      <c r="B9" s="288"/>
      <c r="C9" s="65">
        <v>141</v>
      </c>
      <c r="D9" s="65">
        <v>1685</v>
      </c>
      <c r="E9" s="65">
        <v>377</v>
      </c>
      <c r="F9" s="65">
        <v>626</v>
      </c>
      <c r="G9" s="65">
        <v>514</v>
      </c>
      <c r="H9" s="65">
        <v>3343</v>
      </c>
      <c r="I9" s="176">
        <v>100</v>
      </c>
    </row>
    <row r="10" spans="1:9" s="3" customFormat="1" ht="13.5" thickBot="1">
      <c r="A10" s="253">
        <v>2007</v>
      </c>
      <c r="B10" s="253"/>
      <c r="C10" s="253"/>
      <c r="D10" s="253"/>
      <c r="E10" s="253"/>
      <c r="F10" s="253"/>
      <c r="G10" s="253"/>
      <c r="H10" s="253"/>
      <c r="I10" s="253"/>
    </row>
    <row r="11" spans="1:10" s="3" customFormat="1" ht="26.25" thickBot="1">
      <c r="A11" s="286" t="s">
        <v>88</v>
      </c>
      <c r="B11" s="286"/>
      <c r="C11" s="167" t="s">
        <v>17</v>
      </c>
      <c r="D11" s="167" t="s">
        <v>26</v>
      </c>
      <c r="E11" s="167" t="s">
        <v>20</v>
      </c>
      <c r="F11" s="167" t="s">
        <v>21</v>
      </c>
      <c r="G11" s="167" t="s">
        <v>40</v>
      </c>
      <c r="H11" s="167" t="s">
        <v>0</v>
      </c>
      <c r="I11" s="167" t="s">
        <v>89</v>
      </c>
      <c r="J11" s="168"/>
    </row>
    <row r="12" spans="1:9" s="3" customFormat="1" ht="19.5" customHeight="1">
      <c r="A12" s="289" t="s">
        <v>90</v>
      </c>
      <c r="B12" s="300"/>
      <c r="C12" s="77">
        <v>18</v>
      </c>
      <c r="D12" s="77">
        <v>783</v>
      </c>
      <c r="E12" s="89">
        <v>224</v>
      </c>
      <c r="F12" s="89">
        <v>348</v>
      </c>
      <c r="G12" s="89">
        <v>260</v>
      </c>
      <c r="H12" s="77">
        <v>1633</v>
      </c>
      <c r="I12" s="177">
        <v>48.84833981453784</v>
      </c>
    </row>
    <row r="13" spans="1:9" s="3" customFormat="1" ht="19.5" customHeight="1">
      <c r="A13" s="291" t="s">
        <v>91</v>
      </c>
      <c r="B13" s="291"/>
      <c r="C13" s="161">
        <v>53</v>
      </c>
      <c r="D13" s="161">
        <v>809</v>
      </c>
      <c r="E13" s="90">
        <v>91</v>
      </c>
      <c r="F13" s="90">
        <v>243</v>
      </c>
      <c r="G13" s="90">
        <v>192</v>
      </c>
      <c r="H13" s="161">
        <v>1388</v>
      </c>
      <c r="I13" s="169">
        <v>41.51959317977864</v>
      </c>
    </row>
    <row r="14" spans="1:9" s="3" customFormat="1" ht="19.5" customHeight="1">
      <c r="A14" s="297" t="s">
        <v>92</v>
      </c>
      <c r="B14" s="298"/>
      <c r="C14" s="171">
        <v>72</v>
      </c>
      <c r="D14" s="171">
        <v>245</v>
      </c>
      <c r="E14" s="172">
        <v>19</v>
      </c>
      <c r="F14" s="172">
        <v>30</v>
      </c>
      <c r="G14" s="172">
        <v>11</v>
      </c>
      <c r="H14" s="171">
        <v>377</v>
      </c>
      <c r="I14" s="173">
        <v>11.277295842058031</v>
      </c>
    </row>
    <row r="15" spans="1:9" s="3" customFormat="1" ht="19.5" customHeight="1" thickBot="1">
      <c r="A15" s="294" t="s">
        <v>93</v>
      </c>
      <c r="B15" s="299"/>
      <c r="C15" s="78">
        <v>0</v>
      </c>
      <c r="D15" s="78">
        <v>30</v>
      </c>
      <c r="E15" s="91">
        <v>69</v>
      </c>
      <c r="F15" s="91">
        <v>60</v>
      </c>
      <c r="G15" s="91">
        <v>40</v>
      </c>
      <c r="H15" s="78">
        <v>199</v>
      </c>
      <c r="I15" s="174">
        <v>5.952737062518696</v>
      </c>
    </row>
    <row r="16" spans="1:9" s="3" customFormat="1" ht="19.5" customHeight="1" thickBot="1">
      <c r="A16" s="287" t="s">
        <v>164</v>
      </c>
      <c r="B16" s="288"/>
      <c r="C16" s="35">
        <v>143</v>
      </c>
      <c r="D16" s="35">
        <v>1867</v>
      </c>
      <c r="E16" s="35">
        <v>403</v>
      </c>
      <c r="F16" s="35">
        <v>681</v>
      </c>
      <c r="G16" s="35">
        <v>503</v>
      </c>
      <c r="H16" s="35">
        <v>3597</v>
      </c>
      <c r="I16" s="178">
        <v>107.59796589889321</v>
      </c>
    </row>
    <row r="17" spans="1:9" s="3" customFormat="1" ht="13.5" thickBot="1">
      <c r="A17" s="253">
        <v>2008</v>
      </c>
      <c r="B17" s="253"/>
      <c r="C17" s="253"/>
      <c r="D17" s="253"/>
      <c r="E17" s="253"/>
      <c r="F17" s="253"/>
      <c r="G17" s="253"/>
      <c r="H17" s="253"/>
      <c r="I17" s="253"/>
    </row>
    <row r="18" spans="1:10" s="3" customFormat="1" ht="26.25" thickBot="1">
      <c r="A18" s="286" t="s">
        <v>88</v>
      </c>
      <c r="B18" s="286"/>
      <c r="C18" s="167" t="s">
        <v>17</v>
      </c>
      <c r="D18" s="167" t="s">
        <v>26</v>
      </c>
      <c r="E18" s="167" t="s">
        <v>20</v>
      </c>
      <c r="F18" s="167" t="s">
        <v>21</v>
      </c>
      <c r="G18" s="167" t="s">
        <v>40</v>
      </c>
      <c r="H18" s="167" t="s">
        <v>0</v>
      </c>
      <c r="I18" s="167" t="s">
        <v>89</v>
      </c>
      <c r="J18" s="168"/>
    </row>
    <row r="19" spans="1:9" s="3" customFormat="1" ht="19.5" customHeight="1">
      <c r="A19" s="291" t="s">
        <v>91</v>
      </c>
      <c r="B19" s="291"/>
      <c r="C19" s="161">
        <v>141</v>
      </c>
      <c r="D19" s="161">
        <v>1795</v>
      </c>
      <c r="E19" s="90">
        <v>185</v>
      </c>
      <c r="F19" s="90">
        <v>540</v>
      </c>
      <c r="G19" s="90">
        <v>367</v>
      </c>
      <c r="H19" s="161">
        <v>3028</v>
      </c>
      <c r="I19" s="169">
        <v>90.5773257553096</v>
      </c>
    </row>
    <row r="20" spans="1:9" s="3" customFormat="1" ht="19.5" customHeight="1">
      <c r="A20" s="292" t="s">
        <v>90</v>
      </c>
      <c r="B20" s="296"/>
      <c r="C20" s="161">
        <v>24</v>
      </c>
      <c r="D20" s="161">
        <v>1051</v>
      </c>
      <c r="E20" s="90">
        <v>469</v>
      </c>
      <c r="F20" s="90">
        <v>746</v>
      </c>
      <c r="G20" s="90">
        <v>494</v>
      </c>
      <c r="H20" s="161">
        <v>2784</v>
      </c>
      <c r="I20" s="169">
        <v>83.27849237212085</v>
      </c>
    </row>
    <row r="21" spans="1:9" s="3" customFormat="1" ht="19.5" customHeight="1">
      <c r="A21" s="297" t="s">
        <v>92</v>
      </c>
      <c r="B21" s="298"/>
      <c r="C21" s="171">
        <v>78</v>
      </c>
      <c r="D21" s="171">
        <v>266</v>
      </c>
      <c r="E21" s="172">
        <v>11</v>
      </c>
      <c r="F21" s="172">
        <v>29</v>
      </c>
      <c r="G21" s="172">
        <v>27</v>
      </c>
      <c r="H21" s="171">
        <v>411</v>
      </c>
      <c r="I21" s="173">
        <v>12.294346395453186</v>
      </c>
    </row>
    <row r="22" spans="1:9" s="3" customFormat="1" ht="19.5" customHeight="1" thickBot="1">
      <c r="A22" s="294" t="s">
        <v>93</v>
      </c>
      <c r="B22" s="299"/>
      <c r="C22" s="179">
        <v>0</v>
      </c>
      <c r="D22" s="179">
        <v>58</v>
      </c>
      <c r="E22" s="180">
        <v>150</v>
      </c>
      <c r="F22" s="180">
        <v>54</v>
      </c>
      <c r="G22" s="180">
        <v>54</v>
      </c>
      <c r="H22" s="179">
        <v>316</v>
      </c>
      <c r="I22" s="181">
        <v>9.452587496260843</v>
      </c>
    </row>
    <row r="23" spans="1:9" s="3" customFormat="1" ht="19.5" customHeight="1" thickBot="1">
      <c r="A23" s="287" t="s">
        <v>164</v>
      </c>
      <c r="B23" s="288"/>
      <c r="C23" s="35">
        <v>243</v>
      </c>
      <c r="D23" s="35">
        <v>3170</v>
      </c>
      <c r="E23" s="35">
        <v>815</v>
      </c>
      <c r="F23" s="35">
        <v>1369</v>
      </c>
      <c r="G23" s="35">
        <v>942</v>
      </c>
      <c r="H23" s="35">
        <v>6539</v>
      </c>
      <c r="I23" s="178">
        <v>195.60275201914448</v>
      </c>
    </row>
    <row r="24" spans="1:9" s="3" customFormat="1" ht="13.5" thickBot="1">
      <c r="A24" s="253">
        <v>2009</v>
      </c>
      <c r="B24" s="253"/>
      <c r="C24" s="253"/>
      <c r="D24" s="253"/>
      <c r="E24" s="253"/>
      <c r="F24" s="253"/>
      <c r="G24" s="253"/>
      <c r="H24" s="253"/>
      <c r="I24" s="253"/>
    </row>
    <row r="25" spans="1:9" s="3" customFormat="1" ht="51.75" customHeight="1" thickBot="1">
      <c r="A25" s="286" t="s">
        <v>88</v>
      </c>
      <c r="B25" s="286"/>
      <c r="C25" s="167" t="s">
        <v>17</v>
      </c>
      <c r="D25" s="167" t="s">
        <v>26</v>
      </c>
      <c r="E25" s="167" t="s">
        <v>20</v>
      </c>
      <c r="F25" s="167" t="s">
        <v>21</v>
      </c>
      <c r="G25" s="167" t="s">
        <v>40</v>
      </c>
      <c r="H25" s="167" t="s">
        <v>0</v>
      </c>
      <c r="I25" s="167" t="s">
        <v>89</v>
      </c>
    </row>
    <row r="26" spans="1:9" s="3" customFormat="1" ht="12.75">
      <c r="A26" s="289" t="s">
        <v>94</v>
      </c>
      <c r="B26" s="290"/>
      <c r="C26" s="182">
        <v>9</v>
      </c>
      <c r="D26" s="182">
        <v>127</v>
      </c>
      <c r="E26" s="182">
        <v>204</v>
      </c>
      <c r="F26" s="182">
        <v>92</v>
      </c>
      <c r="G26" s="182">
        <v>83</v>
      </c>
      <c r="H26" s="183">
        <f>SUM(C26:G26)</f>
        <v>515</v>
      </c>
      <c r="I26" s="184">
        <f>H26/H$30</f>
        <v>0.15465465465465467</v>
      </c>
    </row>
    <row r="27" spans="1:9" s="3" customFormat="1" ht="12.75">
      <c r="A27" s="291" t="s">
        <v>95</v>
      </c>
      <c r="B27" s="291"/>
      <c r="C27" s="185">
        <v>89</v>
      </c>
      <c r="D27" s="185">
        <v>1066</v>
      </c>
      <c r="E27" s="185">
        <v>64</v>
      </c>
      <c r="F27" s="185">
        <v>839</v>
      </c>
      <c r="G27" s="185">
        <v>504</v>
      </c>
      <c r="H27" s="186">
        <f>SUM(C27:G27)</f>
        <v>2562</v>
      </c>
      <c r="I27" s="187">
        <f>H27/H$30</f>
        <v>0.7693693693693694</v>
      </c>
    </row>
    <row r="28" spans="1:9" s="3" customFormat="1" ht="12.75">
      <c r="A28" s="292" t="s">
        <v>96</v>
      </c>
      <c r="B28" s="293"/>
      <c r="C28" s="185">
        <v>36</v>
      </c>
      <c r="D28" s="185">
        <v>189</v>
      </c>
      <c r="E28" s="185">
        <v>8</v>
      </c>
      <c r="F28" s="185">
        <v>10</v>
      </c>
      <c r="G28" s="185">
        <v>10</v>
      </c>
      <c r="H28" s="186">
        <f>SUM(C28:G28)</f>
        <v>253</v>
      </c>
      <c r="I28" s="187">
        <f>H28/H$30</f>
        <v>0.07597597597597598</v>
      </c>
    </row>
    <row r="29" spans="1:9" s="3" customFormat="1" ht="13.5" thickBot="1">
      <c r="A29" s="294" t="s">
        <v>97</v>
      </c>
      <c r="B29" s="295"/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9">
        <v>0</v>
      </c>
      <c r="I29" s="190">
        <f>H29/H$30</f>
        <v>0</v>
      </c>
    </row>
    <row r="30" spans="1:9" s="3" customFormat="1" ht="13.5" customHeight="1" thickBot="1">
      <c r="A30" s="287" t="s">
        <v>164</v>
      </c>
      <c r="B30" s="288"/>
      <c r="C30" s="35">
        <f aca="true" t="shared" si="0" ref="C30:H30">SUM(C26:C29)</f>
        <v>134</v>
      </c>
      <c r="D30" s="35">
        <f t="shared" si="0"/>
        <v>1382</v>
      </c>
      <c r="E30" s="35">
        <f t="shared" si="0"/>
        <v>276</v>
      </c>
      <c r="F30" s="35">
        <f t="shared" si="0"/>
        <v>941</v>
      </c>
      <c r="G30" s="35">
        <f t="shared" si="0"/>
        <v>597</v>
      </c>
      <c r="H30" s="35">
        <f t="shared" si="0"/>
        <v>3330</v>
      </c>
      <c r="I30" s="191">
        <f>H30/H$30</f>
        <v>1</v>
      </c>
    </row>
    <row r="31" spans="1:9" s="3" customFormat="1" ht="13.5" thickBot="1">
      <c r="A31" s="253">
        <v>2010</v>
      </c>
      <c r="B31" s="253"/>
      <c r="C31" s="253"/>
      <c r="D31" s="253"/>
      <c r="E31" s="253"/>
      <c r="F31" s="253"/>
      <c r="G31" s="253"/>
      <c r="H31" s="253"/>
      <c r="I31" s="253"/>
    </row>
    <row r="32" spans="1:9" s="3" customFormat="1" ht="51.75" customHeight="1" thickBot="1">
      <c r="A32" s="286" t="s">
        <v>88</v>
      </c>
      <c r="B32" s="286"/>
      <c r="C32" s="167" t="s">
        <v>17</v>
      </c>
      <c r="D32" s="167" t="s">
        <v>26</v>
      </c>
      <c r="E32" s="167" t="s">
        <v>20</v>
      </c>
      <c r="F32" s="167" t="s">
        <v>21</v>
      </c>
      <c r="G32" s="167" t="s">
        <v>40</v>
      </c>
      <c r="H32" s="167" t="s">
        <v>0</v>
      </c>
      <c r="I32" s="167" t="s">
        <v>89</v>
      </c>
    </row>
    <row r="33" spans="1:9" s="3" customFormat="1" ht="12.75" customHeight="1">
      <c r="A33" s="289" t="s">
        <v>94</v>
      </c>
      <c r="B33" s="290"/>
      <c r="C33" s="77">
        <v>2</v>
      </c>
      <c r="D33" s="77">
        <v>115</v>
      </c>
      <c r="E33" s="89">
        <v>202</v>
      </c>
      <c r="F33" s="89">
        <v>155</v>
      </c>
      <c r="G33" s="89">
        <v>97</v>
      </c>
      <c r="H33" s="77">
        <f>SUM(C33:G33)</f>
        <v>571</v>
      </c>
      <c r="I33" s="184">
        <f>H33/H$37</f>
        <v>0.12308687217072645</v>
      </c>
    </row>
    <row r="34" spans="1:9" s="3" customFormat="1" ht="12.75" customHeight="1">
      <c r="A34" s="291" t="s">
        <v>95</v>
      </c>
      <c r="B34" s="291"/>
      <c r="C34" s="161">
        <v>117</v>
      </c>
      <c r="D34" s="161">
        <v>2300</v>
      </c>
      <c r="E34" s="90">
        <v>366</v>
      </c>
      <c r="F34" s="90">
        <v>721</v>
      </c>
      <c r="G34" s="90">
        <v>364</v>
      </c>
      <c r="H34" s="161">
        <f>SUM(C34:G34)</f>
        <v>3868</v>
      </c>
      <c r="I34" s="187">
        <f>H34/H$37</f>
        <v>0.8338003880146583</v>
      </c>
    </row>
    <row r="35" spans="1:9" s="3" customFormat="1" ht="12.75" customHeight="1">
      <c r="A35" s="292" t="s">
        <v>96</v>
      </c>
      <c r="B35" s="293"/>
      <c r="C35" s="161">
        <v>31</v>
      </c>
      <c r="D35" s="161">
        <v>146</v>
      </c>
      <c r="E35" s="90">
        <v>12</v>
      </c>
      <c r="F35" s="90">
        <v>7</v>
      </c>
      <c r="G35" s="90">
        <v>3</v>
      </c>
      <c r="H35" s="161">
        <f>SUM(C35:G35)</f>
        <v>199</v>
      </c>
      <c r="I35" s="187">
        <f>H35/H$37</f>
        <v>0.04289717611554214</v>
      </c>
    </row>
    <row r="36" spans="1:9" s="3" customFormat="1" ht="13.5" customHeight="1" thickBot="1">
      <c r="A36" s="294" t="s">
        <v>97</v>
      </c>
      <c r="B36" s="295"/>
      <c r="C36" s="78">
        <v>0</v>
      </c>
      <c r="D36" s="78">
        <v>1</v>
      </c>
      <c r="E36" s="91">
        <v>0</v>
      </c>
      <c r="F36" s="91">
        <v>0</v>
      </c>
      <c r="G36" s="91">
        <v>0</v>
      </c>
      <c r="H36" s="78">
        <f>SUM(C36:G36)</f>
        <v>1</v>
      </c>
      <c r="I36" s="190">
        <f>H36/H$37</f>
        <v>0.0002155636990730761</v>
      </c>
    </row>
    <row r="37" spans="1:9" s="3" customFormat="1" ht="13.5" customHeight="1" thickBot="1">
      <c r="A37" s="287" t="s">
        <v>164</v>
      </c>
      <c r="B37" s="288"/>
      <c r="C37" s="35">
        <f aca="true" t="shared" si="1" ref="C37:H37">SUM(C33:C36)</f>
        <v>150</v>
      </c>
      <c r="D37" s="35">
        <f t="shared" si="1"/>
        <v>2562</v>
      </c>
      <c r="E37" s="35">
        <f t="shared" si="1"/>
        <v>580</v>
      </c>
      <c r="F37" s="35">
        <f t="shared" si="1"/>
        <v>883</v>
      </c>
      <c r="G37" s="35">
        <f t="shared" si="1"/>
        <v>464</v>
      </c>
      <c r="H37" s="35">
        <f t="shared" si="1"/>
        <v>4639</v>
      </c>
      <c r="I37" s="191">
        <f>H37/H$37</f>
        <v>1</v>
      </c>
    </row>
    <row r="38" spans="1:9" s="3" customFormat="1" ht="13.5" thickBot="1">
      <c r="A38" s="253">
        <v>2011</v>
      </c>
      <c r="B38" s="253"/>
      <c r="C38" s="253"/>
      <c r="D38" s="253"/>
      <c r="E38" s="253"/>
      <c r="F38" s="253"/>
      <c r="G38" s="253"/>
      <c r="H38" s="253"/>
      <c r="I38" s="253"/>
    </row>
    <row r="39" spans="1:9" s="3" customFormat="1" ht="51.75" customHeight="1" thickBot="1">
      <c r="A39" s="286" t="s">
        <v>88</v>
      </c>
      <c r="B39" s="286"/>
      <c r="C39" s="167" t="s">
        <v>17</v>
      </c>
      <c r="D39" s="167" t="s">
        <v>26</v>
      </c>
      <c r="E39" s="167" t="s">
        <v>20</v>
      </c>
      <c r="F39" s="167" t="s">
        <v>21</v>
      </c>
      <c r="G39" s="167" t="s">
        <v>40</v>
      </c>
      <c r="H39" s="167" t="s">
        <v>0</v>
      </c>
      <c r="I39" s="167" t="s">
        <v>89</v>
      </c>
    </row>
    <row r="40" spans="1:9" s="3" customFormat="1" ht="12.75" customHeight="1">
      <c r="A40" s="289" t="s">
        <v>94</v>
      </c>
      <c r="B40" s="290"/>
      <c r="C40" s="77">
        <v>0</v>
      </c>
      <c r="D40" s="77">
        <v>106</v>
      </c>
      <c r="E40" s="89">
        <v>164</v>
      </c>
      <c r="F40" s="89">
        <v>165</v>
      </c>
      <c r="G40" s="89">
        <v>77</v>
      </c>
      <c r="H40" s="77">
        <f>SUM(C40:G40)</f>
        <v>512</v>
      </c>
      <c r="I40" s="184">
        <f>H40/H$44</f>
        <v>0.11940298507462686</v>
      </c>
    </row>
    <row r="41" spans="1:9" s="3" customFormat="1" ht="12.75" customHeight="1">
      <c r="A41" s="291" t="s">
        <v>95</v>
      </c>
      <c r="B41" s="291"/>
      <c r="C41" s="161">
        <v>76</v>
      </c>
      <c r="D41" s="161">
        <v>2085</v>
      </c>
      <c r="E41" s="90">
        <v>405</v>
      </c>
      <c r="F41" s="90">
        <v>644</v>
      </c>
      <c r="G41" s="90">
        <v>363</v>
      </c>
      <c r="H41" s="161">
        <f>SUM(C41:G41)</f>
        <v>3573</v>
      </c>
      <c r="I41" s="187">
        <f>H41/H$44</f>
        <v>0.8332555970149254</v>
      </c>
    </row>
    <row r="42" spans="1:9" s="3" customFormat="1" ht="12.75" customHeight="1">
      <c r="A42" s="292" t="s">
        <v>96</v>
      </c>
      <c r="B42" s="293"/>
      <c r="C42" s="161">
        <v>27</v>
      </c>
      <c r="D42" s="161">
        <v>157</v>
      </c>
      <c r="E42" s="90">
        <v>7</v>
      </c>
      <c r="F42" s="90">
        <v>5</v>
      </c>
      <c r="G42" s="90">
        <v>5</v>
      </c>
      <c r="H42" s="161">
        <f>SUM(C42:G42)</f>
        <v>201</v>
      </c>
      <c r="I42" s="187">
        <f>H42/H$44</f>
        <v>0.046875</v>
      </c>
    </row>
    <row r="43" spans="1:9" s="3" customFormat="1" ht="13.5" customHeight="1" thickBot="1">
      <c r="A43" s="294" t="s">
        <v>97</v>
      </c>
      <c r="B43" s="295"/>
      <c r="C43" s="78">
        <v>0</v>
      </c>
      <c r="D43" s="78">
        <v>2</v>
      </c>
      <c r="E43" s="91">
        <v>0</v>
      </c>
      <c r="F43" s="91">
        <v>0</v>
      </c>
      <c r="G43" s="91">
        <v>0</v>
      </c>
      <c r="H43" s="78">
        <f>SUM(C43:G43)</f>
        <v>2</v>
      </c>
      <c r="I43" s="190">
        <f>H43/H$44</f>
        <v>0.0004664179104477612</v>
      </c>
    </row>
    <row r="44" spans="1:9" s="3" customFormat="1" ht="13.5" customHeight="1" thickBot="1">
      <c r="A44" s="287" t="s">
        <v>164</v>
      </c>
      <c r="B44" s="288"/>
      <c r="C44" s="35">
        <f aca="true" t="shared" si="2" ref="C44:H44">SUM(C40:C43)</f>
        <v>103</v>
      </c>
      <c r="D44" s="35">
        <f t="shared" si="2"/>
        <v>2350</v>
      </c>
      <c r="E44" s="35">
        <f t="shared" si="2"/>
        <v>576</v>
      </c>
      <c r="F44" s="35">
        <f t="shared" si="2"/>
        <v>814</v>
      </c>
      <c r="G44" s="35">
        <f t="shared" si="2"/>
        <v>445</v>
      </c>
      <c r="H44" s="35">
        <f t="shared" si="2"/>
        <v>4288</v>
      </c>
      <c r="I44" s="192">
        <f>H44/H$44</f>
        <v>1</v>
      </c>
    </row>
    <row r="45" spans="1:9" s="3" customFormat="1" ht="13.5" thickBot="1">
      <c r="A45" s="253">
        <v>2012</v>
      </c>
      <c r="B45" s="253"/>
      <c r="C45" s="253"/>
      <c r="D45" s="253"/>
      <c r="E45" s="253"/>
      <c r="F45" s="253"/>
      <c r="G45" s="253"/>
      <c r="H45" s="253"/>
      <c r="I45" s="253"/>
    </row>
    <row r="46" spans="1:9" s="3" customFormat="1" ht="51.75" customHeight="1" thickBot="1">
      <c r="A46" s="286" t="s">
        <v>88</v>
      </c>
      <c r="B46" s="286"/>
      <c r="C46" s="167" t="s">
        <v>17</v>
      </c>
      <c r="D46" s="167" t="s">
        <v>26</v>
      </c>
      <c r="E46" s="167" t="s">
        <v>20</v>
      </c>
      <c r="F46" s="167" t="s">
        <v>21</v>
      </c>
      <c r="G46" s="167" t="s">
        <v>40</v>
      </c>
      <c r="H46" s="167" t="s">
        <v>0</v>
      </c>
      <c r="I46" s="167" t="s">
        <v>89</v>
      </c>
    </row>
    <row r="47" spans="1:9" s="3" customFormat="1" ht="12.75" customHeight="1">
      <c r="A47" s="289" t="s">
        <v>94</v>
      </c>
      <c r="B47" s="290"/>
      <c r="C47" s="77">
        <v>0</v>
      </c>
      <c r="D47" s="77">
        <v>83</v>
      </c>
      <c r="E47" s="89">
        <v>217</v>
      </c>
      <c r="F47" s="89">
        <v>160</v>
      </c>
      <c r="G47" s="89">
        <v>94</v>
      </c>
      <c r="H47" s="77">
        <f>SUM(C47:G47)</f>
        <v>554</v>
      </c>
      <c r="I47" s="184">
        <f>H47/H$51</f>
        <v>0.13106221906789686</v>
      </c>
    </row>
    <row r="48" spans="1:9" s="3" customFormat="1" ht="12.75" customHeight="1">
      <c r="A48" s="291" t="s">
        <v>95</v>
      </c>
      <c r="B48" s="291"/>
      <c r="C48" s="161">
        <v>68</v>
      </c>
      <c r="D48" s="161">
        <v>1835</v>
      </c>
      <c r="E48" s="90">
        <v>405</v>
      </c>
      <c r="F48" s="90">
        <v>770</v>
      </c>
      <c r="G48" s="90">
        <v>368</v>
      </c>
      <c r="H48" s="161">
        <f>SUM(C48:G48)</f>
        <v>3446</v>
      </c>
      <c r="I48" s="187">
        <f>H48/H$51</f>
        <v>0.8152353915306364</v>
      </c>
    </row>
    <row r="49" spans="1:9" s="3" customFormat="1" ht="12.75" customHeight="1">
      <c r="A49" s="292" t="s">
        <v>96</v>
      </c>
      <c r="B49" s="293"/>
      <c r="C49" s="161">
        <v>22</v>
      </c>
      <c r="D49" s="161">
        <v>174</v>
      </c>
      <c r="E49" s="90">
        <v>11</v>
      </c>
      <c r="F49" s="90">
        <v>12</v>
      </c>
      <c r="G49" s="90">
        <v>7</v>
      </c>
      <c r="H49" s="161">
        <f>SUM(C49:G49)</f>
        <v>226</v>
      </c>
      <c r="I49" s="187">
        <f>H49/H$51</f>
        <v>0.05346581499881713</v>
      </c>
    </row>
    <row r="50" spans="1:9" s="3" customFormat="1" ht="13.5" customHeight="1" thickBot="1">
      <c r="A50" s="294" t="s">
        <v>97</v>
      </c>
      <c r="B50" s="295"/>
      <c r="C50" s="78">
        <v>0</v>
      </c>
      <c r="D50" s="78">
        <v>1</v>
      </c>
      <c r="E50" s="91">
        <v>0</v>
      </c>
      <c r="F50" s="91">
        <v>0</v>
      </c>
      <c r="G50" s="91">
        <v>0</v>
      </c>
      <c r="H50" s="78">
        <f>SUM(C50:G50)</f>
        <v>1</v>
      </c>
      <c r="I50" s="190">
        <f>H50/H$51</f>
        <v>0.0002365744026496333</v>
      </c>
    </row>
    <row r="51" spans="1:9" s="3" customFormat="1" ht="13.5" customHeight="1" thickBot="1">
      <c r="A51" s="287" t="s">
        <v>164</v>
      </c>
      <c r="B51" s="288"/>
      <c r="C51" s="35">
        <f aca="true" t="shared" si="3" ref="C51:H51">SUM(C47:C50)</f>
        <v>90</v>
      </c>
      <c r="D51" s="35">
        <f t="shared" si="3"/>
        <v>2093</v>
      </c>
      <c r="E51" s="35">
        <f t="shared" si="3"/>
        <v>633</v>
      </c>
      <c r="F51" s="35">
        <f t="shared" si="3"/>
        <v>942</v>
      </c>
      <c r="G51" s="35">
        <f t="shared" si="3"/>
        <v>469</v>
      </c>
      <c r="H51" s="35">
        <f t="shared" si="3"/>
        <v>4227</v>
      </c>
      <c r="I51" s="192">
        <f>H51/H$51</f>
        <v>1</v>
      </c>
    </row>
    <row r="52" spans="1:2" s="3" customFormat="1" ht="12.75">
      <c r="A52" s="130" t="s">
        <v>63</v>
      </c>
      <c r="B52" s="16"/>
    </row>
    <row r="53" s="3" customFormat="1" ht="12.75">
      <c r="B53" s="16"/>
    </row>
    <row r="54" s="3" customFormat="1" ht="12.75">
      <c r="B54" s="16"/>
    </row>
    <row r="55" s="3" customFormat="1" ht="12.75"/>
    <row r="56" s="3" customFormat="1" ht="19.5" customHeight="1"/>
    <row r="57" s="3" customFormat="1" ht="12.75"/>
    <row r="58" s="3" customFormat="1" ht="6.75" customHeight="1">
      <c r="I58" s="21"/>
    </row>
    <row r="59" s="3" customFormat="1" ht="12.75"/>
    <row r="60" s="3" customFormat="1" ht="31.5" customHeight="1"/>
    <row r="61" s="3" customFormat="1" ht="15.75" customHeight="1"/>
    <row r="62" s="3" customFormat="1" ht="15.75" customHeight="1"/>
    <row r="63" s="3" customFormat="1" ht="15.75" customHeight="1"/>
    <row r="64" s="3" customFormat="1" ht="15.75" customHeight="1"/>
    <row r="65" s="3" customFormat="1" ht="15.75" customHeight="1"/>
    <row r="66" s="3" customFormat="1" ht="15.75" customHeight="1">
      <c r="I66" s="21"/>
    </row>
    <row r="67" s="3" customFormat="1" ht="12.75"/>
    <row r="68" s="3" customFormat="1" ht="31.5" customHeight="1"/>
    <row r="69" s="3" customFormat="1" ht="15.75" customHeight="1"/>
    <row r="70" s="3" customFormat="1" ht="15.75" customHeight="1"/>
    <row r="71" s="3" customFormat="1" ht="15.75" customHeight="1"/>
    <row r="72" s="3" customFormat="1" ht="15.75" customHeight="1"/>
    <row r="73" s="3" customFormat="1" ht="15.75" customHeight="1"/>
    <row r="74" s="3" customFormat="1" ht="15.75" customHeight="1"/>
    <row r="75" s="3" customFormat="1" ht="15.75" customHeight="1"/>
    <row r="76" s="3" customFormat="1" ht="19.5" customHeight="1"/>
    <row r="77" s="3" customFormat="1" ht="12.75"/>
    <row r="78" s="3" customFormat="1" ht="6.75" customHeight="1"/>
    <row r="79" s="3" customFormat="1" ht="13.5" customHeight="1"/>
    <row r="80" s="3" customFormat="1" ht="15.75" customHeight="1"/>
    <row r="81" s="3" customFormat="1" ht="15.75" customHeight="1"/>
    <row r="82" s="3" customFormat="1" ht="15.75" customHeight="1"/>
    <row r="83" s="3" customFormat="1" ht="15.75" customHeight="1"/>
    <row r="84" s="3" customFormat="1" ht="15.75" customHeight="1"/>
    <row r="85" s="3" customFormat="1" ht="15.75" customHeight="1"/>
    <row r="86" s="3" customFormat="1" ht="15.75" customHeight="1">
      <c r="B86" s="16"/>
    </row>
    <row r="87" spans="1:9" s="3" customFormat="1" ht="12.75">
      <c r="A87" s="2"/>
      <c r="B87" s="2"/>
      <c r="C87" s="2"/>
      <c r="D87" s="2"/>
      <c r="E87" s="2"/>
      <c r="F87" s="2"/>
      <c r="G87" s="2"/>
      <c r="H87" s="2"/>
      <c r="I87" s="2"/>
    </row>
  </sheetData>
  <sheetProtection/>
  <mergeCells count="49"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I38"/>
    <mergeCell ref="A27:B27"/>
    <mergeCell ref="A28:B28"/>
    <mergeCell ref="A29:B29"/>
    <mergeCell ref="A30:B30"/>
    <mergeCell ref="A31:I31"/>
    <mergeCell ref="A32:B32"/>
    <mergeCell ref="A21:B21"/>
    <mergeCell ref="A22:B22"/>
    <mergeCell ref="A23:B23"/>
    <mergeCell ref="A24:I24"/>
    <mergeCell ref="A25:B25"/>
    <mergeCell ref="A26:B26"/>
    <mergeCell ref="A15:B15"/>
    <mergeCell ref="A16:B16"/>
    <mergeCell ref="A17:I17"/>
    <mergeCell ref="A18:B18"/>
    <mergeCell ref="A19:B19"/>
    <mergeCell ref="A20:B20"/>
    <mergeCell ref="A9:B9"/>
    <mergeCell ref="A10:I10"/>
    <mergeCell ref="A11:B11"/>
    <mergeCell ref="A12:B12"/>
    <mergeCell ref="A13:B13"/>
    <mergeCell ref="A14:B14"/>
    <mergeCell ref="A3:I3"/>
    <mergeCell ref="A4:B4"/>
    <mergeCell ref="A5:B5"/>
    <mergeCell ref="A6:B6"/>
    <mergeCell ref="A7:B7"/>
    <mergeCell ref="A8:B8"/>
    <mergeCell ref="A51:B51"/>
    <mergeCell ref="A45:I45"/>
    <mergeCell ref="A46:B46"/>
    <mergeCell ref="A47:B47"/>
    <mergeCell ref="A48:B48"/>
    <mergeCell ref="A49:B49"/>
    <mergeCell ref="A50:B5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K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56" customWidth="1"/>
    <col min="3" max="8" width="11.28125" style="56" customWidth="1"/>
    <col min="9" max="10" width="11.7109375" style="56" customWidth="1"/>
    <col min="11" max="16384" width="9.140625" style="56" customWidth="1"/>
  </cols>
  <sheetData>
    <row r="1" spans="1:8" ht="18.75">
      <c r="A1" s="4" t="s">
        <v>148</v>
      </c>
      <c r="B1" s="4"/>
      <c r="C1" s="4"/>
      <c r="D1" s="4"/>
      <c r="E1" s="4"/>
      <c r="F1" s="4"/>
      <c r="H1" s="3"/>
    </row>
    <row r="2" spans="1:8" ht="6.75" customHeight="1" thickBot="1">
      <c r="A2" s="3"/>
      <c r="B2" s="3"/>
      <c r="C2" s="3"/>
      <c r="D2" s="3"/>
      <c r="E2" s="3"/>
      <c r="F2" s="3"/>
      <c r="H2" s="3"/>
    </row>
    <row r="3" spans="1:11" ht="13.5" customHeight="1" thickBot="1">
      <c r="A3" s="286" t="s">
        <v>98</v>
      </c>
      <c r="B3" s="286"/>
      <c r="C3" s="286"/>
      <c r="D3" s="167">
        <v>2005</v>
      </c>
      <c r="E3" s="167">
        <v>2006</v>
      </c>
      <c r="F3" s="167">
        <v>2007</v>
      </c>
      <c r="G3" s="167">
        <v>2008</v>
      </c>
      <c r="H3" s="167">
        <v>2009</v>
      </c>
      <c r="I3" s="167">
        <v>2010</v>
      </c>
      <c r="J3" s="167">
        <v>2011</v>
      </c>
      <c r="K3" s="167">
        <v>2012</v>
      </c>
    </row>
    <row r="4" spans="1:11" ht="19.5" customHeight="1">
      <c r="A4" s="301" t="s">
        <v>17</v>
      </c>
      <c r="B4" s="301"/>
      <c r="C4" s="301"/>
      <c r="D4" s="193">
        <v>105</v>
      </c>
      <c r="E4" s="193">
        <v>169</v>
      </c>
      <c r="F4" s="193">
        <v>203</v>
      </c>
      <c r="G4" s="193">
        <v>178</v>
      </c>
      <c r="H4" s="193">
        <v>193</v>
      </c>
      <c r="I4" s="183">
        <v>179</v>
      </c>
      <c r="J4" s="183">
        <v>174</v>
      </c>
      <c r="K4" s="183">
        <v>154</v>
      </c>
    </row>
    <row r="5" spans="1:11" ht="19.5" customHeight="1">
      <c r="A5" s="302" t="s">
        <v>26</v>
      </c>
      <c r="B5" s="302"/>
      <c r="C5" s="302"/>
      <c r="D5" s="186">
        <v>1786</v>
      </c>
      <c r="E5" s="186">
        <v>1754</v>
      </c>
      <c r="F5" s="186">
        <v>1699</v>
      </c>
      <c r="G5" s="186">
        <v>2055</v>
      </c>
      <c r="H5" s="186">
        <v>2873</v>
      </c>
      <c r="I5" s="186">
        <v>3399</v>
      </c>
      <c r="J5" s="186">
        <v>3564</v>
      </c>
      <c r="K5" s="186">
        <v>3361</v>
      </c>
    </row>
    <row r="6" spans="1:11" ht="19.5" customHeight="1">
      <c r="A6" s="302" t="s">
        <v>21</v>
      </c>
      <c r="B6" s="302"/>
      <c r="C6" s="302"/>
      <c r="D6" s="186">
        <v>629</v>
      </c>
      <c r="E6" s="186">
        <v>279</v>
      </c>
      <c r="F6" s="186">
        <v>377</v>
      </c>
      <c r="G6" s="186">
        <v>568</v>
      </c>
      <c r="H6" s="186">
        <v>865</v>
      </c>
      <c r="I6" s="186">
        <v>962</v>
      </c>
      <c r="J6" s="186">
        <v>854</v>
      </c>
      <c r="K6" s="186">
        <v>960</v>
      </c>
    </row>
    <row r="7" spans="1:11" ht="19.5" customHeight="1">
      <c r="A7" s="302" t="s">
        <v>40</v>
      </c>
      <c r="B7" s="302"/>
      <c r="C7" s="302"/>
      <c r="D7" s="186">
        <v>392</v>
      </c>
      <c r="E7" s="186">
        <v>479</v>
      </c>
      <c r="F7" s="186">
        <v>301</v>
      </c>
      <c r="G7" s="186">
        <v>392</v>
      </c>
      <c r="H7" s="186">
        <v>688</v>
      </c>
      <c r="I7" s="186">
        <v>740</v>
      </c>
      <c r="J7" s="186">
        <v>844</v>
      </c>
      <c r="K7" s="186">
        <v>811</v>
      </c>
    </row>
    <row r="8" spans="1:11" ht="19.5" customHeight="1">
      <c r="A8" s="302" t="s">
        <v>20</v>
      </c>
      <c r="B8" s="302"/>
      <c r="C8" s="302"/>
      <c r="D8" s="186">
        <v>445</v>
      </c>
      <c r="E8" s="186">
        <v>331</v>
      </c>
      <c r="F8" s="186">
        <v>309</v>
      </c>
      <c r="G8" s="186">
        <v>434</v>
      </c>
      <c r="H8" s="186">
        <v>700</v>
      </c>
      <c r="I8" s="186">
        <v>784</v>
      </c>
      <c r="J8" s="186">
        <v>913</v>
      </c>
      <c r="K8" s="186">
        <v>961</v>
      </c>
    </row>
    <row r="9" spans="1:11" ht="19.5" customHeight="1" thickBot="1">
      <c r="A9" s="303" t="s">
        <v>31</v>
      </c>
      <c r="B9" s="303"/>
      <c r="C9" s="303"/>
      <c r="D9" s="194">
        <v>48</v>
      </c>
      <c r="E9" s="194">
        <v>55</v>
      </c>
      <c r="F9" s="194">
        <v>50</v>
      </c>
      <c r="G9" s="194">
        <v>63</v>
      </c>
      <c r="H9" s="194">
        <v>57</v>
      </c>
      <c r="I9" s="195">
        <v>56</v>
      </c>
      <c r="J9" s="195">
        <v>76</v>
      </c>
      <c r="K9" s="195">
        <v>63</v>
      </c>
    </row>
    <row r="10" spans="1:11" ht="19.5" customHeight="1" thickBot="1">
      <c r="A10" s="287" t="s">
        <v>0</v>
      </c>
      <c r="B10" s="287"/>
      <c r="C10" s="287"/>
      <c r="D10" s="162">
        <f aca="true" t="shared" si="0" ref="D10:I10">SUM(D4:D9)</f>
        <v>3405</v>
      </c>
      <c r="E10" s="162">
        <f t="shared" si="0"/>
        <v>3067</v>
      </c>
      <c r="F10" s="162">
        <f t="shared" si="0"/>
        <v>2939</v>
      </c>
      <c r="G10" s="162">
        <f t="shared" si="0"/>
        <v>3690</v>
      </c>
      <c r="H10" s="162">
        <f t="shared" si="0"/>
        <v>5376</v>
      </c>
      <c r="I10" s="162">
        <f t="shared" si="0"/>
        <v>6120</v>
      </c>
      <c r="J10" s="162">
        <f>SUM(J4:J9)</f>
        <v>6425</v>
      </c>
      <c r="K10" s="162">
        <f>SUM(K4:K9)</f>
        <v>6310</v>
      </c>
    </row>
    <row r="11" ht="12.75">
      <c r="A11" s="130" t="s">
        <v>63</v>
      </c>
    </row>
  </sheetData>
  <sheetProtection/>
  <mergeCells count="8">
    <mergeCell ref="A3:C3"/>
    <mergeCell ref="A10:C10"/>
    <mergeCell ref="A4:C4"/>
    <mergeCell ref="A5:C5"/>
    <mergeCell ref="A6:C6"/>
    <mergeCell ref="A7:C7"/>
    <mergeCell ref="A8:C8"/>
    <mergeCell ref="A9:C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P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1" customWidth="1"/>
    <col min="2" max="2" width="11.28125" style="1" customWidth="1"/>
    <col min="3" max="10" width="9.28125" style="1" customWidth="1"/>
    <col min="11" max="13" width="9.140625" style="1" customWidth="1"/>
    <col min="14" max="14" width="7.140625" style="1" customWidth="1"/>
    <col min="15" max="15" width="9.7109375" style="1" customWidth="1"/>
    <col min="16" max="16384" width="9.140625" style="1" customWidth="1"/>
  </cols>
  <sheetData>
    <row r="1" spans="1:10" s="3" customFormat="1" ht="19.5" customHeight="1">
      <c r="A1" s="4" t="s">
        <v>149</v>
      </c>
      <c r="B1" s="4"/>
      <c r="C1" s="4"/>
      <c r="D1" s="4"/>
      <c r="E1" s="4"/>
      <c r="F1" s="4"/>
      <c r="G1" s="4"/>
      <c r="H1" s="4"/>
      <c r="I1" s="4"/>
      <c r="J1" s="4"/>
    </row>
    <row r="2" s="3" customFormat="1" ht="6.75" customHeight="1" thickBot="1">
      <c r="B2" s="16"/>
    </row>
    <row r="3" spans="1:16" s="3" customFormat="1" ht="13.5" customHeight="1" thickBot="1">
      <c r="A3" s="5"/>
      <c r="B3" s="16"/>
      <c r="C3" s="16"/>
      <c r="D3" s="73">
        <v>2006</v>
      </c>
      <c r="E3" s="253">
        <v>2007</v>
      </c>
      <c r="F3" s="253"/>
      <c r="G3" s="253">
        <v>2008</v>
      </c>
      <c r="H3" s="253"/>
      <c r="I3" s="253">
        <v>2009</v>
      </c>
      <c r="J3" s="253"/>
      <c r="K3" s="253">
        <v>2010</v>
      </c>
      <c r="L3" s="253"/>
      <c r="M3" s="253">
        <v>2011</v>
      </c>
      <c r="N3" s="253"/>
      <c r="O3" s="253">
        <v>2012</v>
      </c>
      <c r="P3" s="253"/>
    </row>
    <row r="4" spans="1:16" s="3" customFormat="1" ht="26.25" thickBot="1">
      <c r="A4" s="286" t="s">
        <v>99</v>
      </c>
      <c r="B4" s="286"/>
      <c r="C4" s="167" t="s">
        <v>100</v>
      </c>
      <c r="D4" s="167" t="s">
        <v>101</v>
      </c>
      <c r="E4" s="167" t="s">
        <v>100</v>
      </c>
      <c r="F4" s="167" t="s">
        <v>101</v>
      </c>
      <c r="G4" s="167" t="s">
        <v>100</v>
      </c>
      <c r="H4" s="167" t="s">
        <v>101</v>
      </c>
      <c r="I4" s="167" t="s">
        <v>100</v>
      </c>
      <c r="J4" s="167" t="s">
        <v>101</v>
      </c>
      <c r="K4" s="167" t="s">
        <v>100</v>
      </c>
      <c r="L4" s="167" t="s">
        <v>101</v>
      </c>
      <c r="M4" s="167" t="s">
        <v>100</v>
      </c>
      <c r="N4" s="167" t="s">
        <v>101</v>
      </c>
      <c r="O4" s="167" t="s">
        <v>100</v>
      </c>
      <c r="P4" s="167" t="s">
        <v>101</v>
      </c>
    </row>
    <row r="5" spans="1:16" s="3" customFormat="1" ht="19.5" customHeight="1">
      <c r="A5" s="289" t="s">
        <v>102</v>
      </c>
      <c r="B5" s="300"/>
      <c r="C5" s="77">
        <f aca="true" t="shared" si="0" ref="C5:C10">C$11*D5/D$11</f>
        <v>4540173.839999999</v>
      </c>
      <c r="D5" s="197">
        <v>72</v>
      </c>
      <c r="E5" s="77">
        <v>5188786</v>
      </c>
      <c r="F5" s="197">
        <f aca="true" t="shared" si="1" ref="F5:F10">E5*100/E$11</f>
        <v>80.8145206118234</v>
      </c>
      <c r="G5" s="77">
        <v>10264093</v>
      </c>
      <c r="H5" s="197">
        <f aca="true" t="shared" si="2" ref="H5:H10">G5*100/G$11</f>
        <v>82.61187836010147</v>
      </c>
      <c r="I5" s="77">
        <v>6440894</v>
      </c>
      <c r="J5" s="197">
        <f aca="true" t="shared" si="3" ref="J5:J10">I5*100/I$11</f>
        <v>83.96793547985904</v>
      </c>
      <c r="K5" s="77">
        <v>8203193</v>
      </c>
      <c r="L5" s="197">
        <f aca="true" t="shared" si="4" ref="L5:L10">K5*100/K$11</f>
        <v>83.214043741174</v>
      </c>
      <c r="M5" s="77">
        <v>7401311</v>
      </c>
      <c r="N5" s="184">
        <f>M5/M$11</f>
        <v>0.8305586739629169</v>
      </c>
      <c r="O5" s="77">
        <v>6713944</v>
      </c>
      <c r="P5" s="184">
        <f>O5/O$11</f>
        <v>0.7913117628166408</v>
      </c>
    </row>
    <row r="6" spans="1:16" s="3" customFormat="1" ht="19.5" customHeight="1">
      <c r="A6" s="291" t="s">
        <v>103</v>
      </c>
      <c r="B6" s="291"/>
      <c r="C6" s="161">
        <f t="shared" si="0"/>
        <v>630579.7</v>
      </c>
      <c r="D6" s="198">
        <v>10</v>
      </c>
      <c r="E6" s="161">
        <v>501509</v>
      </c>
      <c r="F6" s="198">
        <f t="shared" si="1"/>
        <v>7.810923290633866</v>
      </c>
      <c r="G6" s="161">
        <v>1065750</v>
      </c>
      <c r="H6" s="198">
        <f t="shared" si="2"/>
        <v>8.577826541739064</v>
      </c>
      <c r="I6" s="161">
        <v>338151</v>
      </c>
      <c r="J6" s="198">
        <f t="shared" si="3"/>
        <v>4.408369606835605</v>
      </c>
      <c r="K6" s="161">
        <v>597703</v>
      </c>
      <c r="L6" s="198">
        <f t="shared" si="4"/>
        <v>6.06316145264788</v>
      </c>
      <c r="M6" s="161">
        <v>616185</v>
      </c>
      <c r="N6" s="187">
        <f aca="true" t="shared" si="5" ref="N6:N11">M6/M$11</f>
        <v>0.06914691147498599</v>
      </c>
      <c r="O6" s="161">
        <v>844864</v>
      </c>
      <c r="P6" s="187">
        <f aca="true" t="shared" si="6" ref="P6:P11">O6/O$11</f>
        <v>0.09957646670575722</v>
      </c>
    </row>
    <row r="7" spans="1:16" s="3" customFormat="1" ht="31.5" customHeight="1">
      <c r="A7" s="291" t="s">
        <v>104</v>
      </c>
      <c r="B7" s="291"/>
      <c r="C7" s="161">
        <f t="shared" si="0"/>
        <v>201785.504</v>
      </c>
      <c r="D7" s="198">
        <v>3.2</v>
      </c>
      <c r="E7" s="161">
        <v>144457</v>
      </c>
      <c r="F7" s="198">
        <f t="shared" si="1"/>
        <v>2.2498949087555684</v>
      </c>
      <c r="G7" s="161">
        <v>295848</v>
      </c>
      <c r="H7" s="198">
        <f t="shared" si="2"/>
        <v>2.3811708437442354</v>
      </c>
      <c r="I7" s="161">
        <v>122010</v>
      </c>
      <c r="J7" s="198">
        <f t="shared" si="3"/>
        <v>1.590606491567413</v>
      </c>
      <c r="K7" s="161">
        <v>155819</v>
      </c>
      <c r="L7" s="198">
        <f t="shared" si="4"/>
        <v>1.5806441566967875</v>
      </c>
      <c r="M7" s="161">
        <v>232453</v>
      </c>
      <c r="N7" s="187">
        <f t="shared" si="5"/>
        <v>0.0260853591260659</v>
      </c>
      <c r="O7" s="161">
        <v>103759</v>
      </c>
      <c r="P7" s="187">
        <f t="shared" si="6"/>
        <v>0.012229133456890888</v>
      </c>
    </row>
    <row r="8" spans="1:16" s="3" customFormat="1" ht="48" customHeight="1">
      <c r="A8" s="291" t="s">
        <v>105</v>
      </c>
      <c r="B8" s="291"/>
      <c r="C8" s="161">
        <f t="shared" si="0"/>
        <v>454017.3839999999</v>
      </c>
      <c r="D8" s="198">
        <v>7.2</v>
      </c>
      <c r="E8" s="161">
        <v>373134</v>
      </c>
      <c r="F8" s="198">
        <f t="shared" si="1"/>
        <v>5.811502986242275</v>
      </c>
      <c r="G8" s="161">
        <v>502161</v>
      </c>
      <c r="H8" s="198">
        <f t="shared" si="2"/>
        <v>4.041707674432306</v>
      </c>
      <c r="I8" s="161">
        <v>273093</v>
      </c>
      <c r="J8" s="198">
        <f t="shared" si="3"/>
        <v>3.5602286583199696</v>
      </c>
      <c r="K8" s="161">
        <v>109194</v>
      </c>
      <c r="L8" s="198">
        <f t="shared" si="4"/>
        <v>1.107675303052574</v>
      </c>
      <c r="M8" s="161">
        <v>104399</v>
      </c>
      <c r="N8" s="187">
        <f t="shared" si="5"/>
        <v>0.011715423794926948</v>
      </c>
      <c r="O8" s="161">
        <v>288909</v>
      </c>
      <c r="P8" s="187">
        <f t="shared" si="6"/>
        <v>0.03405108682520928</v>
      </c>
    </row>
    <row r="9" spans="1:16" s="3" customFormat="1" ht="41.25" customHeight="1">
      <c r="A9" s="291" t="s">
        <v>106</v>
      </c>
      <c r="B9" s="291"/>
      <c r="C9" s="161">
        <f t="shared" si="0"/>
        <v>245926.08299999998</v>
      </c>
      <c r="D9" s="198">
        <v>3.9</v>
      </c>
      <c r="E9" s="161">
        <v>131688</v>
      </c>
      <c r="F9" s="198">
        <f t="shared" si="1"/>
        <v>2.0510197549734754</v>
      </c>
      <c r="G9" s="161">
        <v>251534</v>
      </c>
      <c r="H9" s="198">
        <f t="shared" si="2"/>
        <v>2.02450389054637</v>
      </c>
      <c r="I9" s="161">
        <v>283662</v>
      </c>
      <c r="J9" s="198">
        <f t="shared" si="3"/>
        <v>3.698013430136837</v>
      </c>
      <c r="K9" s="161">
        <v>520080</v>
      </c>
      <c r="L9" s="198">
        <f t="shared" si="4"/>
        <v>5.275745660124024</v>
      </c>
      <c r="M9" s="161">
        <v>424818</v>
      </c>
      <c r="N9" s="187">
        <f t="shared" si="5"/>
        <v>0.04767213197169778</v>
      </c>
      <c r="O9" s="161">
        <v>397301</v>
      </c>
      <c r="P9" s="187">
        <f t="shared" si="6"/>
        <v>0.04682627002531064</v>
      </c>
    </row>
    <row r="10" spans="1:16" s="3" customFormat="1" ht="19.5" customHeight="1" thickBot="1">
      <c r="A10" s="294" t="s">
        <v>107</v>
      </c>
      <c r="B10" s="299"/>
      <c r="C10" s="78">
        <f t="shared" si="0"/>
        <v>233314.489</v>
      </c>
      <c r="D10" s="107">
        <v>3.7</v>
      </c>
      <c r="E10" s="78">
        <v>81037</v>
      </c>
      <c r="F10" s="107">
        <f t="shared" si="1"/>
        <v>1.2621384475714228</v>
      </c>
      <c r="G10" s="78">
        <v>45090</v>
      </c>
      <c r="H10" s="107">
        <f t="shared" si="2"/>
        <v>0.3629126894365605</v>
      </c>
      <c r="I10" s="78">
        <v>212849</v>
      </c>
      <c r="J10" s="107">
        <f t="shared" si="3"/>
        <v>2.7748463332811433</v>
      </c>
      <c r="K10" s="78">
        <v>271954</v>
      </c>
      <c r="L10" s="107">
        <f t="shared" si="4"/>
        <v>2.758729686304739</v>
      </c>
      <c r="M10" s="78">
        <v>132078</v>
      </c>
      <c r="N10" s="190">
        <f t="shared" si="5"/>
        <v>0.014821499669406426</v>
      </c>
      <c r="O10" s="78">
        <v>135798</v>
      </c>
      <c r="P10" s="190">
        <f t="shared" si="6"/>
        <v>0.0160052801701912</v>
      </c>
    </row>
    <row r="11" spans="1:16" s="3" customFormat="1" ht="19.5" customHeight="1" thickBot="1">
      <c r="A11" s="304" t="s">
        <v>0</v>
      </c>
      <c r="B11" s="305"/>
      <c r="C11" s="35">
        <v>6305797</v>
      </c>
      <c r="D11" s="199">
        <f aca="true" t="shared" si="7" ref="D11:J11">SUM(D5:D10)</f>
        <v>100.00000000000001</v>
      </c>
      <c r="E11" s="35">
        <f t="shared" si="7"/>
        <v>6420611</v>
      </c>
      <c r="F11" s="199">
        <f t="shared" si="7"/>
        <v>100</v>
      </c>
      <c r="G11" s="35">
        <f t="shared" si="7"/>
        <v>12424476</v>
      </c>
      <c r="H11" s="199">
        <f t="shared" si="7"/>
        <v>100</v>
      </c>
      <c r="I11" s="35">
        <f t="shared" si="7"/>
        <v>7670659</v>
      </c>
      <c r="J11" s="199">
        <f t="shared" si="7"/>
        <v>100.00000000000001</v>
      </c>
      <c r="K11" s="35">
        <f>SUM(K5:K10)</f>
        <v>9857943</v>
      </c>
      <c r="L11" s="199">
        <f>SUM(L5:L10)</f>
        <v>99.99999999999999</v>
      </c>
      <c r="M11" s="35">
        <f>SUM(M5:M10)</f>
        <v>8911244</v>
      </c>
      <c r="N11" s="191">
        <f t="shared" si="5"/>
        <v>1</v>
      </c>
      <c r="O11" s="35">
        <f>SUM(O5:O10)</f>
        <v>8484575</v>
      </c>
      <c r="P11" s="191">
        <f t="shared" si="6"/>
        <v>1</v>
      </c>
    </row>
    <row r="12" spans="1:2" s="3" customFormat="1" ht="12.75">
      <c r="A12" s="130" t="s">
        <v>63</v>
      </c>
      <c r="B12" s="16"/>
    </row>
    <row r="13" s="3" customFormat="1" ht="12.75">
      <c r="B13" s="16"/>
    </row>
  </sheetData>
  <sheetProtection/>
  <mergeCells count="14">
    <mergeCell ref="A9:B9"/>
    <mergeCell ref="A10:B10"/>
    <mergeCell ref="O3:P3"/>
    <mergeCell ref="A11:B11"/>
    <mergeCell ref="E3:F3"/>
    <mergeCell ref="G3:H3"/>
    <mergeCell ref="I3:J3"/>
    <mergeCell ref="K3:L3"/>
    <mergeCell ref="A4:B4"/>
    <mergeCell ref="A5:B5"/>
    <mergeCell ref="M3:N3"/>
    <mergeCell ref="A6:B6"/>
    <mergeCell ref="A7:B7"/>
    <mergeCell ref="A8:B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P1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6.00390625" style="1" customWidth="1"/>
    <col min="2" max="2" width="11.28125" style="1" customWidth="1"/>
    <col min="3" max="3" width="7.8515625" style="1" bestFit="1" customWidth="1"/>
    <col min="4" max="4" width="13.28125" style="1" bestFit="1" customWidth="1"/>
    <col min="5" max="5" width="6.8515625" style="1" bestFit="1" customWidth="1"/>
    <col min="6" max="6" width="12.57421875" style="1" bestFit="1" customWidth="1"/>
    <col min="7" max="7" width="8.7109375" style="1" bestFit="1" customWidth="1"/>
    <col min="8" max="8" width="12.57421875" style="1" bestFit="1" customWidth="1"/>
    <col min="9" max="9" width="8.8515625" style="1" customWidth="1"/>
    <col min="10" max="10" width="9.7109375" style="1" customWidth="1"/>
    <col min="11" max="11" width="8.7109375" style="1" customWidth="1"/>
    <col min="12" max="12" width="9.7109375" style="1" customWidth="1"/>
    <col min="13" max="13" width="8.7109375" style="1" customWidth="1"/>
    <col min="14" max="14" width="9.7109375" style="1" customWidth="1"/>
    <col min="15" max="15" width="8.7109375" style="1" customWidth="1"/>
    <col min="16" max="16" width="9.7109375" style="1" customWidth="1"/>
    <col min="17" max="16384" width="9.140625" style="1" customWidth="1"/>
  </cols>
  <sheetData>
    <row r="1" spans="1:16" s="3" customFormat="1" ht="19.5" customHeight="1">
      <c r="A1" s="4" t="s">
        <v>163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3" customFormat="1" ht="6.75" customHeight="1" thickBo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1:8" s="3" customFormat="1" ht="13.5" customHeight="1" thickBot="1">
      <c r="A3" s="285">
        <v>2006</v>
      </c>
      <c r="B3" s="285"/>
      <c r="C3" s="285"/>
      <c r="D3" s="285"/>
      <c r="E3" s="285"/>
      <c r="F3" s="285"/>
      <c r="G3" s="285"/>
      <c r="H3" s="285"/>
    </row>
    <row r="4" spans="1:8" s="3" customFormat="1" ht="13.5" customHeight="1" thickBot="1">
      <c r="A4" s="308" t="s">
        <v>39</v>
      </c>
      <c r="B4" s="308"/>
      <c r="C4" s="200" t="s">
        <v>17</v>
      </c>
      <c r="D4" s="201" t="s">
        <v>26</v>
      </c>
      <c r="E4" s="201" t="s">
        <v>20</v>
      </c>
      <c r="F4" s="201" t="s">
        <v>21</v>
      </c>
      <c r="G4" s="201" t="s">
        <v>40</v>
      </c>
      <c r="H4" s="200" t="s">
        <v>0</v>
      </c>
    </row>
    <row r="5" spans="1:8" s="3" customFormat="1" ht="19.5" customHeight="1">
      <c r="A5" s="306" t="s">
        <v>102</v>
      </c>
      <c r="B5" s="202" t="s">
        <v>100</v>
      </c>
      <c r="C5" s="132">
        <v>937875</v>
      </c>
      <c r="D5" s="132">
        <v>2698875</v>
      </c>
      <c r="E5" s="132">
        <v>231448</v>
      </c>
      <c r="F5" s="132">
        <v>449932</v>
      </c>
      <c r="G5" s="132">
        <v>222599</v>
      </c>
      <c r="H5" s="132">
        <v>4540729</v>
      </c>
    </row>
    <row r="6" spans="1:8" s="3" customFormat="1" ht="19.5" customHeight="1" thickBot="1">
      <c r="A6" s="307"/>
      <c r="B6" s="203" t="s">
        <v>89</v>
      </c>
      <c r="C6" s="204">
        <v>20.654723063190954</v>
      </c>
      <c r="D6" s="204">
        <v>59.43704193753911</v>
      </c>
      <c r="E6" s="204">
        <v>5.097155104389626</v>
      </c>
      <c r="F6" s="204">
        <v>9.908805392261904</v>
      </c>
      <c r="G6" s="204">
        <v>4.902274502618412</v>
      </c>
      <c r="H6" s="204">
        <v>100</v>
      </c>
    </row>
    <row r="7" spans="1:8" s="3" customFormat="1" ht="19.5" customHeight="1">
      <c r="A7" s="306" t="s">
        <v>108</v>
      </c>
      <c r="B7" s="202" t="s">
        <v>100</v>
      </c>
      <c r="C7" s="132">
        <v>73892</v>
      </c>
      <c r="D7" s="132">
        <v>333599</v>
      </c>
      <c r="E7" s="132">
        <v>40185</v>
      </c>
      <c r="F7" s="132">
        <v>118219</v>
      </c>
      <c r="G7" s="132">
        <v>67821</v>
      </c>
      <c r="H7" s="132">
        <v>633716</v>
      </c>
    </row>
    <row r="8" spans="1:8" s="3" customFormat="1" ht="19.5" customHeight="1" thickBot="1">
      <c r="A8" s="307"/>
      <c r="B8" s="203" t="s">
        <v>89</v>
      </c>
      <c r="C8" s="204">
        <v>11.660112731886208</v>
      </c>
      <c r="D8" s="204">
        <v>52.64171963466285</v>
      </c>
      <c r="E8" s="204">
        <v>6.341168599183231</v>
      </c>
      <c r="F8" s="204">
        <v>18.654886415997073</v>
      </c>
      <c r="G8" s="204">
        <v>10.702112618270645</v>
      </c>
      <c r="H8" s="204">
        <v>100.00000000000001</v>
      </c>
    </row>
    <row r="9" spans="1:8" s="3" customFormat="1" ht="19.5" customHeight="1">
      <c r="A9" s="306" t="s">
        <v>104</v>
      </c>
      <c r="B9" s="202" t="s">
        <v>100</v>
      </c>
      <c r="C9" s="132">
        <v>27420</v>
      </c>
      <c r="D9" s="132">
        <v>164602</v>
      </c>
      <c r="E9" s="132">
        <v>6344</v>
      </c>
      <c r="F9" s="132">
        <v>3095</v>
      </c>
      <c r="G9" s="132">
        <v>364</v>
      </c>
      <c r="H9" s="132">
        <v>201825</v>
      </c>
    </row>
    <row r="10" spans="1:8" s="3" customFormat="1" ht="19.5" customHeight="1" thickBot="1">
      <c r="A10" s="307"/>
      <c r="B10" s="203" t="s">
        <v>89</v>
      </c>
      <c r="C10" s="204">
        <v>13.586027499070978</v>
      </c>
      <c r="D10" s="204">
        <v>81.55679425244642</v>
      </c>
      <c r="E10" s="204">
        <v>3.143317230273752</v>
      </c>
      <c r="F10" s="204">
        <v>1.5335067508980553</v>
      </c>
      <c r="G10" s="204">
        <v>0.18035426731078905</v>
      </c>
      <c r="H10" s="204">
        <v>100</v>
      </c>
    </row>
    <row r="11" spans="1:8" s="3" customFormat="1" ht="24.75" customHeight="1">
      <c r="A11" s="306" t="s">
        <v>105</v>
      </c>
      <c r="B11" s="202" t="s">
        <v>100</v>
      </c>
      <c r="C11" s="132">
        <v>186301</v>
      </c>
      <c r="D11" s="132">
        <v>207496</v>
      </c>
      <c r="E11" s="132">
        <v>27420</v>
      </c>
      <c r="F11" s="132">
        <v>20999</v>
      </c>
      <c r="G11" s="132">
        <v>9328</v>
      </c>
      <c r="H11" s="132">
        <v>451544</v>
      </c>
    </row>
    <row r="12" spans="1:8" s="3" customFormat="1" ht="24.75" customHeight="1" thickBot="1">
      <c r="A12" s="307"/>
      <c r="B12" s="203" t="s">
        <v>89</v>
      </c>
      <c r="C12" s="204">
        <v>41.25865917828606</v>
      </c>
      <c r="D12" s="204">
        <v>45.95255390393849</v>
      </c>
      <c r="E12" s="204">
        <v>6.072497918253814</v>
      </c>
      <c r="F12" s="204">
        <v>4.650488103042007</v>
      </c>
      <c r="G12" s="204">
        <v>2.0658008964796344</v>
      </c>
      <c r="H12" s="204">
        <v>100</v>
      </c>
    </row>
    <row r="13" spans="1:8" s="3" customFormat="1" ht="27" customHeight="1">
      <c r="A13" s="306" t="s">
        <v>106</v>
      </c>
      <c r="B13" s="202" t="s">
        <v>100</v>
      </c>
      <c r="C13" s="132">
        <v>256</v>
      </c>
      <c r="D13" s="132">
        <v>116357</v>
      </c>
      <c r="E13" s="132">
        <v>85937</v>
      </c>
      <c r="F13" s="132">
        <v>24426</v>
      </c>
      <c r="G13" s="132">
        <v>20330</v>
      </c>
      <c r="H13" s="132">
        <v>247306</v>
      </c>
    </row>
    <row r="14" spans="1:8" s="3" customFormat="1" ht="27" customHeight="1" thickBot="1">
      <c r="A14" s="307"/>
      <c r="B14" s="203" t="s">
        <v>89</v>
      </c>
      <c r="C14" s="204">
        <v>0.10351548284311743</v>
      </c>
      <c r="D14" s="204">
        <v>47.04980873897115</v>
      </c>
      <c r="E14" s="204">
        <v>34.74925800425384</v>
      </c>
      <c r="F14" s="204">
        <v>9.876832749710884</v>
      </c>
      <c r="G14" s="204">
        <v>8.220585024221005</v>
      </c>
      <c r="H14" s="204">
        <v>100</v>
      </c>
    </row>
    <row r="15" spans="1:8" s="3" customFormat="1" ht="19.5" customHeight="1">
      <c r="A15" s="306" t="s">
        <v>107</v>
      </c>
      <c r="B15" s="202" t="s">
        <v>100</v>
      </c>
      <c r="C15" s="132">
        <v>10776</v>
      </c>
      <c r="D15" s="132">
        <v>185133</v>
      </c>
      <c r="E15" s="132">
        <v>18254</v>
      </c>
      <c r="F15" s="132">
        <v>12054</v>
      </c>
      <c r="G15" s="132">
        <v>4454</v>
      </c>
      <c r="H15" s="132">
        <v>230671</v>
      </c>
    </row>
    <row r="16" spans="1:8" s="3" customFormat="1" ht="19.5" customHeight="1" thickBot="1">
      <c r="A16" s="307"/>
      <c r="B16" s="203" t="s">
        <v>89</v>
      </c>
      <c r="C16" s="204">
        <v>4.6715885395216565</v>
      </c>
      <c r="D16" s="204">
        <v>80.25846335256708</v>
      </c>
      <c r="E16" s="204">
        <v>7.913435152229799</v>
      </c>
      <c r="F16" s="204">
        <v>5.225624374108579</v>
      </c>
      <c r="G16" s="204">
        <v>1.9308885815728896</v>
      </c>
      <c r="H16" s="204">
        <v>99.99999999999999</v>
      </c>
    </row>
    <row r="17" spans="1:8" s="3" customFormat="1" ht="30" customHeight="1">
      <c r="A17" s="309" t="s">
        <v>0</v>
      </c>
      <c r="B17" s="205" t="s">
        <v>100</v>
      </c>
      <c r="C17" s="133">
        <v>1236520</v>
      </c>
      <c r="D17" s="133">
        <v>3706062</v>
      </c>
      <c r="E17" s="133">
        <v>409588</v>
      </c>
      <c r="F17" s="133">
        <v>628725</v>
      </c>
      <c r="G17" s="133">
        <v>324896</v>
      </c>
      <c r="H17" s="133">
        <v>6305791</v>
      </c>
    </row>
    <row r="18" spans="1:8" s="3" customFormat="1" ht="30" customHeight="1" thickBot="1">
      <c r="A18" s="310"/>
      <c r="B18" s="206" t="s">
        <v>89</v>
      </c>
      <c r="C18" s="207">
        <v>19.609276615733062</v>
      </c>
      <c r="D18" s="207">
        <v>58.7723570286424</v>
      </c>
      <c r="E18" s="207">
        <v>6.495426188403644</v>
      </c>
      <c r="F18" s="207">
        <v>9.970596868814713</v>
      </c>
      <c r="G18" s="207">
        <v>5.152343298406179</v>
      </c>
      <c r="H18" s="207">
        <v>100</v>
      </c>
    </row>
    <row r="19" spans="1:8" s="3" customFormat="1" ht="13.5" customHeight="1" thickBot="1">
      <c r="A19" s="285">
        <v>2007</v>
      </c>
      <c r="B19" s="285"/>
      <c r="C19" s="285"/>
      <c r="D19" s="285"/>
      <c r="E19" s="285"/>
      <c r="F19" s="285"/>
      <c r="G19" s="285"/>
      <c r="H19" s="285"/>
    </row>
    <row r="20" spans="1:8" s="3" customFormat="1" ht="13.5" customHeight="1" thickBot="1">
      <c r="A20" s="308" t="s">
        <v>39</v>
      </c>
      <c r="B20" s="308"/>
      <c r="C20" s="200" t="s">
        <v>17</v>
      </c>
      <c r="D20" s="201" t="s">
        <v>26</v>
      </c>
      <c r="E20" s="201" t="s">
        <v>20</v>
      </c>
      <c r="F20" s="201" t="s">
        <v>21</v>
      </c>
      <c r="G20" s="201" t="s">
        <v>40</v>
      </c>
      <c r="H20" s="200" t="s">
        <v>0</v>
      </c>
    </row>
    <row r="21" spans="1:8" s="3" customFormat="1" ht="19.5" customHeight="1">
      <c r="A21" s="306" t="s">
        <v>102</v>
      </c>
      <c r="B21" s="202" t="s">
        <v>100</v>
      </c>
      <c r="C21" s="77">
        <v>939489</v>
      </c>
      <c r="D21" s="77">
        <v>3028459</v>
      </c>
      <c r="E21" s="77">
        <v>284263</v>
      </c>
      <c r="F21" s="77">
        <v>648352</v>
      </c>
      <c r="G21" s="77">
        <v>288223</v>
      </c>
      <c r="H21" s="46">
        <v>5188786</v>
      </c>
    </row>
    <row r="22" spans="1:8" s="3" customFormat="1" ht="19.5" customHeight="1" thickBot="1">
      <c r="A22" s="307"/>
      <c r="B22" s="208" t="s">
        <v>89</v>
      </c>
      <c r="C22" s="107">
        <v>18.106142747070315</v>
      </c>
      <c r="D22" s="107">
        <v>58.36546352075418</v>
      </c>
      <c r="E22" s="107">
        <v>5.478410556920251</v>
      </c>
      <c r="F22" s="107">
        <v>12.495254188552003</v>
      </c>
      <c r="G22" s="107">
        <v>5.554728986703248</v>
      </c>
      <c r="H22" s="209">
        <v>100</v>
      </c>
    </row>
    <row r="23" spans="1:8" s="3" customFormat="1" ht="19.5" customHeight="1">
      <c r="A23" s="306" t="s">
        <v>108</v>
      </c>
      <c r="B23" s="202" t="s">
        <v>100</v>
      </c>
      <c r="C23" s="77">
        <v>205515</v>
      </c>
      <c r="D23" s="77">
        <v>189817</v>
      </c>
      <c r="E23" s="77">
        <v>49890</v>
      </c>
      <c r="F23" s="77">
        <v>37042</v>
      </c>
      <c r="G23" s="77">
        <v>19245</v>
      </c>
      <c r="H23" s="46">
        <v>501509</v>
      </c>
    </row>
    <row r="24" spans="1:8" s="3" customFormat="1" ht="19.5" customHeight="1" thickBot="1">
      <c r="A24" s="307"/>
      <c r="B24" s="208" t="s">
        <v>89</v>
      </c>
      <c r="C24" s="107">
        <v>40.979324398963925</v>
      </c>
      <c r="D24" s="107">
        <v>37.849171201314434</v>
      </c>
      <c r="E24" s="107">
        <v>9.94797700539771</v>
      </c>
      <c r="F24" s="107">
        <v>7.386108723871356</v>
      </c>
      <c r="G24" s="107">
        <v>3.8374186704525743</v>
      </c>
      <c r="H24" s="209">
        <v>100.00000000000001</v>
      </c>
    </row>
    <row r="25" spans="1:8" s="3" customFormat="1" ht="19.5" customHeight="1">
      <c r="A25" s="306" t="s">
        <v>104</v>
      </c>
      <c r="B25" s="202" t="s">
        <v>100</v>
      </c>
      <c r="C25" s="77">
        <v>29001</v>
      </c>
      <c r="D25" s="77">
        <v>110856</v>
      </c>
      <c r="E25" s="77">
        <v>4220</v>
      </c>
      <c r="F25" s="77">
        <v>0</v>
      </c>
      <c r="G25" s="77">
        <v>380</v>
      </c>
      <c r="H25" s="46">
        <v>144457</v>
      </c>
    </row>
    <row r="26" spans="1:8" s="3" customFormat="1" ht="19.5" customHeight="1" thickBot="1">
      <c r="A26" s="307"/>
      <c r="B26" s="208" t="s">
        <v>89</v>
      </c>
      <c r="C26" s="107">
        <v>20.07587032819455</v>
      </c>
      <c r="D26" s="107">
        <v>76.73979107969846</v>
      </c>
      <c r="E26" s="107">
        <v>2.921284534498155</v>
      </c>
      <c r="F26" s="107">
        <v>0</v>
      </c>
      <c r="G26" s="107">
        <v>0.2630540576088386</v>
      </c>
      <c r="H26" s="209">
        <v>100.00000000000001</v>
      </c>
    </row>
    <row r="27" spans="1:8" s="3" customFormat="1" ht="24.75" customHeight="1">
      <c r="A27" s="306" t="s">
        <v>105</v>
      </c>
      <c r="B27" s="202" t="s">
        <v>100</v>
      </c>
      <c r="C27" s="77">
        <v>100465</v>
      </c>
      <c r="D27" s="77">
        <v>171924</v>
      </c>
      <c r="E27" s="77">
        <v>63118</v>
      </c>
      <c r="F27" s="77">
        <v>17010</v>
      </c>
      <c r="G27" s="77">
        <v>20626</v>
      </c>
      <c r="H27" s="46">
        <v>373143</v>
      </c>
    </row>
    <row r="28" spans="1:8" s="3" customFormat="1" ht="24.75" customHeight="1" thickBot="1">
      <c r="A28" s="307"/>
      <c r="B28" s="208" t="s">
        <v>89</v>
      </c>
      <c r="C28" s="107">
        <v>26.923994286372785</v>
      </c>
      <c r="D28" s="107">
        <v>46.07456122719708</v>
      </c>
      <c r="E28" s="107">
        <v>16.915230890034117</v>
      </c>
      <c r="F28" s="107">
        <v>4.558574058738875</v>
      </c>
      <c r="G28" s="107">
        <v>5.527639537657145</v>
      </c>
      <c r="H28" s="209">
        <v>100</v>
      </c>
    </row>
    <row r="29" spans="1:8" s="3" customFormat="1" ht="27" customHeight="1">
      <c r="A29" s="306" t="s">
        <v>106</v>
      </c>
      <c r="B29" s="202" t="s">
        <v>100</v>
      </c>
      <c r="C29" s="77">
        <v>0</v>
      </c>
      <c r="D29" s="77">
        <v>67604</v>
      </c>
      <c r="E29" s="77">
        <v>54893</v>
      </c>
      <c r="F29" s="77">
        <v>3272</v>
      </c>
      <c r="G29" s="77">
        <v>5919</v>
      </c>
      <c r="H29" s="46">
        <v>131688</v>
      </c>
    </row>
    <row r="30" spans="1:8" s="3" customFormat="1" ht="27" customHeight="1" thickBot="1">
      <c r="A30" s="307"/>
      <c r="B30" s="208" t="s">
        <v>89</v>
      </c>
      <c r="C30" s="107">
        <v>0</v>
      </c>
      <c r="D30" s="107">
        <v>51.33649231516919</v>
      </c>
      <c r="E30" s="107">
        <v>41.684132191239904</v>
      </c>
      <c r="F30" s="107">
        <v>2.484660713200899</v>
      </c>
      <c r="G30" s="107">
        <v>4.494714780390013</v>
      </c>
      <c r="H30" s="209">
        <v>100</v>
      </c>
    </row>
    <row r="31" spans="1:8" s="3" customFormat="1" ht="19.5" customHeight="1">
      <c r="A31" s="306" t="s">
        <v>107</v>
      </c>
      <c r="B31" s="202" t="s">
        <v>100</v>
      </c>
      <c r="C31" s="77">
        <v>31391</v>
      </c>
      <c r="D31" s="77">
        <v>28790</v>
      </c>
      <c r="E31" s="77">
        <v>5416</v>
      </c>
      <c r="F31" s="77">
        <v>13219</v>
      </c>
      <c r="G31" s="77">
        <v>2221</v>
      </c>
      <c r="H31" s="46">
        <v>81037</v>
      </c>
    </row>
    <row r="32" spans="1:8" s="3" customFormat="1" ht="19.5" customHeight="1" thickBot="1">
      <c r="A32" s="307"/>
      <c r="B32" s="208" t="s">
        <v>89</v>
      </c>
      <c r="C32" s="107">
        <v>38.73662647926256</v>
      </c>
      <c r="D32" s="107">
        <v>35.52698150227674</v>
      </c>
      <c r="E32" s="107">
        <v>6.683366857114652</v>
      </c>
      <c r="F32" s="107">
        <v>16.312301788072116</v>
      </c>
      <c r="G32" s="107">
        <v>2.7407233732739367</v>
      </c>
      <c r="H32" s="209">
        <v>100.00000000000001</v>
      </c>
    </row>
    <row r="33" spans="1:8" s="3" customFormat="1" ht="30" customHeight="1">
      <c r="A33" s="306" t="s">
        <v>0</v>
      </c>
      <c r="B33" s="205" t="s">
        <v>100</v>
      </c>
      <c r="C33" s="46">
        <v>1305861</v>
      </c>
      <c r="D33" s="46">
        <v>3597450</v>
      </c>
      <c r="E33" s="46">
        <v>461800</v>
      </c>
      <c r="F33" s="46">
        <v>718895</v>
      </c>
      <c r="G33" s="46">
        <v>336614</v>
      </c>
      <c r="H33" s="46">
        <v>6420620</v>
      </c>
    </row>
    <row r="34" spans="1:8" s="3" customFormat="1" ht="30" customHeight="1" thickBot="1">
      <c r="A34" s="307"/>
      <c r="B34" s="210" t="s">
        <v>89</v>
      </c>
      <c r="C34" s="209">
        <v>20.338549859670874</v>
      </c>
      <c r="D34" s="209">
        <v>56.02963576726235</v>
      </c>
      <c r="E34" s="209">
        <v>7.19245181929471</v>
      </c>
      <c r="F34" s="209">
        <v>11.196660135625532</v>
      </c>
      <c r="G34" s="209">
        <v>5.242702418146534</v>
      </c>
      <c r="H34" s="209">
        <v>100</v>
      </c>
    </row>
    <row r="35" spans="1:8" s="3" customFormat="1" ht="13.5" customHeight="1" thickBot="1">
      <c r="A35" s="285">
        <v>2008</v>
      </c>
      <c r="B35" s="285"/>
      <c r="C35" s="285"/>
      <c r="D35" s="285"/>
      <c r="E35" s="285"/>
      <c r="F35" s="285"/>
      <c r="G35" s="285"/>
      <c r="H35" s="285"/>
    </row>
    <row r="36" spans="1:8" s="3" customFormat="1" ht="13.5" thickBot="1">
      <c r="A36" s="285" t="s">
        <v>39</v>
      </c>
      <c r="B36" s="285"/>
      <c r="C36" s="200" t="s">
        <v>17</v>
      </c>
      <c r="D36" s="201" t="s">
        <v>26</v>
      </c>
      <c r="E36" s="201" t="s">
        <v>20</v>
      </c>
      <c r="F36" s="201" t="s">
        <v>21</v>
      </c>
      <c r="G36" s="201" t="s">
        <v>40</v>
      </c>
      <c r="H36" s="200" t="s">
        <v>0</v>
      </c>
    </row>
    <row r="37" spans="1:8" s="3" customFormat="1" ht="19.5" customHeight="1">
      <c r="A37" s="306" t="s">
        <v>102</v>
      </c>
      <c r="B37" s="202" t="s">
        <v>100</v>
      </c>
      <c r="C37" s="77">
        <v>1516355</v>
      </c>
      <c r="D37" s="77">
        <v>6170178</v>
      </c>
      <c r="E37" s="77">
        <v>645522</v>
      </c>
      <c r="F37" s="77">
        <v>1311257</v>
      </c>
      <c r="G37" s="77">
        <v>620781</v>
      </c>
      <c r="H37" s="46">
        <v>10264093</v>
      </c>
    </row>
    <row r="38" spans="1:8" s="3" customFormat="1" ht="19.5" customHeight="1" thickBot="1">
      <c r="A38" s="307"/>
      <c r="B38" s="208" t="s">
        <v>89</v>
      </c>
      <c r="C38" s="107">
        <v>14.773394979955851</v>
      </c>
      <c r="D38" s="107">
        <v>60.11420590207045</v>
      </c>
      <c r="E38" s="107">
        <v>6.289128518223675</v>
      </c>
      <c r="F38" s="107">
        <v>12.775186273156333</v>
      </c>
      <c r="G38" s="107">
        <v>6.048084326593689</v>
      </c>
      <c r="H38" s="209">
        <v>100.00000000000001</v>
      </c>
    </row>
    <row r="39" spans="1:8" s="3" customFormat="1" ht="19.5" customHeight="1">
      <c r="A39" s="306" t="s">
        <v>108</v>
      </c>
      <c r="B39" s="202" t="s">
        <v>100</v>
      </c>
      <c r="C39" s="77">
        <v>73405</v>
      </c>
      <c r="D39" s="77">
        <v>698945</v>
      </c>
      <c r="E39" s="77">
        <v>87942</v>
      </c>
      <c r="F39" s="77">
        <v>140780</v>
      </c>
      <c r="G39" s="77">
        <v>64678</v>
      </c>
      <c r="H39" s="46">
        <v>1065750</v>
      </c>
    </row>
    <row r="40" spans="1:8" s="3" customFormat="1" ht="19.5" customHeight="1" thickBot="1">
      <c r="A40" s="307"/>
      <c r="B40" s="208" t="s">
        <v>89</v>
      </c>
      <c r="C40" s="107">
        <v>6.887637813746188</v>
      </c>
      <c r="D40" s="107">
        <v>65.58245367112362</v>
      </c>
      <c r="E40" s="107">
        <v>8.251653764954257</v>
      </c>
      <c r="F40" s="107">
        <v>13.209476894205958</v>
      </c>
      <c r="G40" s="107">
        <v>6.068777855969974</v>
      </c>
      <c r="H40" s="209">
        <v>100</v>
      </c>
    </row>
    <row r="41" spans="1:8" s="3" customFormat="1" ht="19.5" customHeight="1">
      <c r="A41" s="306" t="s">
        <v>104</v>
      </c>
      <c r="B41" s="202" t="s">
        <v>100</v>
      </c>
      <c r="C41" s="77">
        <v>168985</v>
      </c>
      <c r="D41" s="77">
        <v>94731</v>
      </c>
      <c r="E41" s="77">
        <v>26</v>
      </c>
      <c r="F41" s="77">
        <v>5212</v>
      </c>
      <c r="G41" s="77">
        <v>648</v>
      </c>
      <c r="H41" s="46">
        <v>269602</v>
      </c>
    </row>
    <row r="42" spans="1:8" s="3" customFormat="1" ht="19.5" customHeight="1" thickBot="1">
      <c r="A42" s="307"/>
      <c r="B42" s="208" t="s">
        <v>89</v>
      </c>
      <c r="C42" s="107">
        <v>62.6794311614899</v>
      </c>
      <c r="D42" s="107">
        <v>35.13735061312602</v>
      </c>
      <c r="E42" s="107">
        <v>0.009643845372066973</v>
      </c>
      <c r="F42" s="107">
        <v>1.9332200799697332</v>
      </c>
      <c r="G42" s="107">
        <v>0.24035430004228456</v>
      </c>
      <c r="H42" s="209">
        <v>100</v>
      </c>
    </row>
    <row r="43" spans="1:8" s="3" customFormat="1" ht="24.75" customHeight="1">
      <c r="A43" s="306" t="s">
        <v>105</v>
      </c>
      <c r="B43" s="202" t="s">
        <v>100</v>
      </c>
      <c r="C43" s="77">
        <v>149174</v>
      </c>
      <c r="D43" s="77">
        <v>240466</v>
      </c>
      <c r="E43" s="77">
        <v>48309</v>
      </c>
      <c r="F43" s="77">
        <v>36827</v>
      </c>
      <c r="G43" s="77">
        <v>27385</v>
      </c>
      <c r="H43" s="46">
        <v>502161</v>
      </c>
    </row>
    <row r="44" spans="1:8" s="3" customFormat="1" ht="24.75" customHeight="1" thickBot="1">
      <c r="A44" s="307"/>
      <c r="B44" s="208" t="s">
        <v>89</v>
      </c>
      <c r="C44" s="107">
        <v>29.70640890073104</v>
      </c>
      <c r="D44" s="107">
        <v>47.88623568935063</v>
      </c>
      <c r="E44" s="107">
        <v>9.62022140309582</v>
      </c>
      <c r="F44" s="107">
        <v>7.333703732468273</v>
      </c>
      <c r="G44" s="107">
        <v>5.453430274354241</v>
      </c>
      <c r="H44" s="209">
        <v>100.00000000000003</v>
      </c>
    </row>
    <row r="45" spans="1:8" s="3" customFormat="1" ht="30" customHeight="1">
      <c r="A45" s="306" t="s">
        <v>106</v>
      </c>
      <c r="B45" s="202" t="s">
        <v>100</v>
      </c>
      <c r="C45" s="77">
        <v>0</v>
      </c>
      <c r="D45" s="77">
        <v>201357</v>
      </c>
      <c r="E45" s="77">
        <v>19135</v>
      </c>
      <c r="F45" s="77">
        <v>27386</v>
      </c>
      <c r="G45" s="77">
        <v>3656</v>
      </c>
      <c r="H45" s="46">
        <v>251534</v>
      </c>
    </row>
    <row r="46" spans="1:8" s="3" customFormat="1" ht="30" customHeight="1" thickBot="1">
      <c r="A46" s="307"/>
      <c r="B46" s="208" t="s">
        <v>89</v>
      </c>
      <c r="C46" s="107">
        <v>0</v>
      </c>
      <c r="D46" s="107">
        <v>80.05160336177217</v>
      </c>
      <c r="E46" s="107">
        <v>7.607321475426781</v>
      </c>
      <c r="F46" s="107">
        <v>10.887593724903988</v>
      </c>
      <c r="G46" s="107">
        <v>1.4534814378970635</v>
      </c>
      <c r="H46" s="209">
        <v>100.00000000000001</v>
      </c>
    </row>
    <row r="47" spans="1:8" s="3" customFormat="1" ht="19.5" customHeight="1">
      <c r="A47" s="306" t="s">
        <v>107</v>
      </c>
      <c r="B47" s="202" t="s">
        <v>100</v>
      </c>
      <c r="C47" s="77">
        <v>8099</v>
      </c>
      <c r="D47" s="77">
        <v>32426</v>
      </c>
      <c r="E47" s="77">
        <v>4105</v>
      </c>
      <c r="F47" s="77">
        <v>301</v>
      </c>
      <c r="G47" s="77">
        <v>159</v>
      </c>
      <c r="H47" s="46">
        <v>45090</v>
      </c>
    </row>
    <row r="48" spans="1:8" s="3" customFormat="1" ht="19.5" customHeight="1" thickBot="1">
      <c r="A48" s="307"/>
      <c r="B48" s="208" t="s">
        <v>89</v>
      </c>
      <c r="C48" s="107">
        <v>17.961854069638502</v>
      </c>
      <c r="D48" s="107">
        <v>71.91394987802174</v>
      </c>
      <c r="E48" s="107">
        <v>9.104014193834553</v>
      </c>
      <c r="F48" s="107">
        <v>0.6675537813262364</v>
      </c>
      <c r="G48" s="107">
        <v>0.3526280771789754</v>
      </c>
      <c r="H48" s="209">
        <v>100.00000000000001</v>
      </c>
    </row>
    <row r="49" spans="1:8" s="3" customFormat="1" ht="30" customHeight="1">
      <c r="A49" s="306" t="s">
        <v>0</v>
      </c>
      <c r="B49" s="205" t="s">
        <v>100</v>
      </c>
      <c r="C49" s="46">
        <v>1916018</v>
      </c>
      <c r="D49" s="46">
        <v>7438103</v>
      </c>
      <c r="E49" s="46">
        <v>805039</v>
      </c>
      <c r="F49" s="46">
        <v>1521763</v>
      </c>
      <c r="G49" s="46">
        <v>717307</v>
      </c>
      <c r="H49" s="46">
        <v>12398230</v>
      </c>
    </row>
    <row r="50" spans="1:8" s="3" customFormat="1" ht="30" customHeight="1" thickBot="1">
      <c r="A50" s="311"/>
      <c r="B50" s="211" t="s">
        <v>89</v>
      </c>
      <c r="C50" s="212">
        <v>15.453963993247424</v>
      </c>
      <c r="D50" s="212">
        <v>59.99326516768926</v>
      </c>
      <c r="E50" s="212">
        <v>6.493176848630813</v>
      </c>
      <c r="F50" s="212">
        <v>12.274034277473477</v>
      </c>
      <c r="G50" s="212">
        <v>5.785559712959027</v>
      </c>
      <c r="H50" s="212">
        <v>100</v>
      </c>
    </row>
    <row r="51" spans="1:9" s="3" customFormat="1" ht="13.5" thickBot="1">
      <c r="A51" s="285">
        <v>2009</v>
      </c>
      <c r="B51" s="285"/>
      <c r="C51" s="285"/>
      <c r="D51" s="285"/>
      <c r="E51" s="285"/>
      <c r="F51" s="285"/>
      <c r="G51" s="285"/>
      <c r="H51" s="285"/>
      <c r="I51" s="285"/>
    </row>
    <row r="52" spans="1:9" s="3" customFormat="1" ht="13.5" thickBot="1">
      <c r="A52" s="308" t="s">
        <v>39</v>
      </c>
      <c r="B52" s="308"/>
      <c r="C52" s="200" t="s">
        <v>17</v>
      </c>
      <c r="D52" s="201" t="s">
        <v>26</v>
      </c>
      <c r="E52" s="201" t="s">
        <v>20</v>
      </c>
      <c r="F52" s="201" t="s">
        <v>21</v>
      </c>
      <c r="G52" s="201" t="s">
        <v>40</v>
      </c>
      <c r="H52" s="201" t="s">
        <v>18</v>
      </c>
      <c r="I52" s="200" t="s">
        <v>0</v>
      </c>
    </row>
    <row r="53" spans="1:9" s="3" customFormat="1" ht="19.5" customHeight="1">
      <c r="A53" s="306" t="s">
        <v>102</v>
      </c>
      <c r="B53" s="202" t="s">
        <v>100</v>
      </c>
      <c r="C53" s="77">
        <v>1026237</v>
      </c>
      <c r="D53" s="77">
        <v>3825646</v>
      </c>
      <c r="E53" s="77">
        <v>441491</v>
      </c>
      <c r="F53" s="77">
        <v>770516</v>
      </c>
      <c r="G53" s="77">
        <v>348376</v>
      </c>
      <c r="H53" s="77">
        <v>28628</v>
      </c>
      <c r="I53" s="46">
        <v>6440894</v>
      </c>
    </row>
    <row r="54" spans="1:9" s="3" customFormat="1" ht="19.5" customHeight="1" thickBot="1">
      <c r="A54" s="307"/>
      <c r="B54" s="208" t="s">
        <v>89</v>
      </c>
      <c r="C54" s="107">
        <v>15.933145305605091</v>
      </c>
      <c r="D54" s="107">
        <v>59.396195621291085</v>
      </c>
      <c r="E54" s="107">
        <v>6.8544987698912605</v>
      </c>
      <c r="F54" s="107">
        <v>11.962873476880693</v>
      </c>
      <c r="G54" s="107">
        <v>5.408814366452856</v>
      </c>
      <c r="H54" s="107">
        <v>0.4444724598790168</v>
      </c>
      <c r="I54" s="33">
        <v>100.00000000000001</v>
      </c>
    </row>
    <row r="55" spans="1:9" s="3" customFormat="1" ht="19.5" customHeight="1">
      <c r="A55" s="306" t="s">
        <v>108</v>
      </c>
      <c r="B55" s="202" t="s">
        <v>100</v>
      </c>
      <c r="C55" s="77">
        <v>17388</v>
      </c>
      <c r="D55" s="77">
        <v>196761</v>
      </c>
      <c r="E55" s="77">
        <v>34257</v>
      </c>
      <c r="F55" s="77">
        <v>45685</v>
      </c>
      <c r="G55" s="77">
        <v>43505</v>
      </c>
      <c r="H55" s="77">
        <v>555</v>
      </c>
      <c r="I55" s="46">
        <v>338151</v>
      </c>
    </row>
    <row r="56" spans="1:9" s="3" customFormat="1" ht="19.5" customHeight="1" thickBot="1">
      <c r="A56" s="307"/>
      <c r="B56" s="208" t="s">
        <v>89</v>
      </c>
      <c r="C56" s="107">
        <v>5.142081496136341</v>
      </c>
      <c r="D56" s="107">
        <v>58.187318683073535</v>
      </c>
      <c r="E56" s="107">
        <v>10.130681263695804</v>
      </c>
      <c r="F56" s="107">
        <v>13.510236551126567</v>
      </c>
      <c r="G56" s="107">
        <v>12.86555414592889</v>
      </c>
      <c r="H56" s="107">
        <v>0.16412786003885838</v>
      </c>
      <c r="I56" s="209">
        <v>100</v>
      </c>
    </row>
    <row r="57" spans="1:9" s="3" customFormat="1" ht="24.75" customHeight="1">
      <c r="A57" s="306" t="s">
        <v>104</v>
      </c>
      <c r="B57" s="202" t="s">
        <v>100</v>
      </c>
      <c r="C57" s="77">
        <v>13877</v>
      </c>
      <c r="D57" s="77">
        <v>100787</v>
      </c>
      <c r="E57" s="77">
        <v>2310</v>
      </c>
      <c r="F57" s="77">
        <v>5036</v>
      </c>
      <c r="G57" s="77">
        <v>0</v>
      </c>
      <c r="H57" s="77">
        <v>0</v>
      </c>
      <c r="I57" s="46">
        <v>122010</v>
      </c>
    </row>
    <row r="58" spans="1:9" s="3" customFormat="1" ht="24.75" customHeight="1" thickBot="1">
      <c r="A58" s="307"/>
      <c r="B58" s="208" t="s">
        <v>89</v>
      </c>
      <c r="C58" s="107">
        <v>11.373657896893697</v>
      </c>
      <c r="D58" s="107">
        <v>82.60552413736579</v>
      </c>
      <c r="E58" s="107">
        <v>1.8932874354561102</v>
      </c>
      <c r="F58" s="107">
        <v>4.127530530284403</v>
      </c>
      <c r="G58" s="107">
        <v>0</v>
      </c>
      <c r="H58" s="107">
        <v>0</v>
      </c>
      <c r="I58" s="209">
        <v>100</v>
      </c>
    </row>
    <row r="59" spans="1:9" s="3" customFormat="1" ht="24.75" customHeight="1">
      <c r="A59" s="306" t="s">
        <v>105</v>
      </c>
      <c r="B59" s="202" t="s">
        <v>100</v>
      </c>
      <c r="C59" s="77">
        <v>0</v>
      </c>
      <c r="D59" s="77">
        <v>41794</v>
      </c>
      <c r="E59" s="77">
        <v>12681</v>
      </c>
      <c r="F59" s="77">
        <v>117</v>
      </c>
      <c r="G59" s="77">
        <v>8557</v>
      </c>
      <c r="H59" s="77">
        <v>209944</v>
      </c>
      <c r="I59" s="46">
        <v>273093</v>
      </c>
    </row>
    <row r="60" spans="1:9" s="3" customFormat="1" ht="24.75" customHeight="1" thickBot="1">
      <c r="A60" s="307"/>
      <c r="B60" s="208" t="s">
        <v>89</v>
      </c>
      <c r="C60" s="107">
        <v>0</v>
      </c>
      <c r="D60" s="107">
        <v>15.303944077658526</v>
      </c>
      <c r="E60" s="107">
        <v>4.6434731025694544</v>
      </c>
      <c r="F60" s="107">
        <v>0.04284254814294032</v>
      </c>
      <c r="G60" s="107">
        <v>3.1333648244370966</v>
      </c>
      <c r="H60" s="107">
        <v>76.87637544719198</v>
      </c>
      <c r="I60" s="209">
        <v>100</v>
      </c>
    </row>
    <row r="61" spans="1:9" s="3" customFormat="1" ht="30" customHeight="1">
      <c r="A61" s="306" t="s">
        <v>106</v>
      </c>
      <c r="B61" s="202" t="s">
        <v>100</v>
      </c>
      <c r="C61" s="77">
        <v>168</v>
      </c>
      <c r="D61" s="77">
        <v>202006</v>
      </c>
      <c r="E61" s="77">
        <v>50566</v>
      </c>
      <c r="F61" s="77">
        <v>20161</v>
      </c>
      <c r="G61" s="77">
        <v>5842</v>
      </c>
      <c r="H61" s="77">
        <v>4919</v>
      </c>
      <c r="I61" s="46">
        <v>283662</v>
      </c>
    </row>
    <row r="62" spans="1:9" s="3" customFormat="1" ht="30" customHeight="1" thickBot="1">
      <c r="A62" s="307"/>
      <c r="B62" s="208" t="s">
        <v>89</v>
      </c>
      <c r="C62" s="107">
        <v>0.05922541616430822</v>
      </c>
      <c r="D62" s="107">
        <v>71.21362748623362</v>
      </c>
      <c r="E62" s="107">
        <v>17.82614520097863</v>
      </c>
      <c r="F62" s="107">
        <v>7.1074024719560605</v>
      </c>
      <c r="G62" s="107">
        <v>2.059493340666004</v>
      </c>
      <c r="H62" s="107">
        <v>1.734106084001382</v>
      </c>
      <c r="I62" s="209">
        <v>100.00000000000001</v>
      </c>
    </row>
    <row r="63" spans="1:9" s="3" customFormat="1" ht="19.5" customHeight="1">
      <c r="A63" s="306" t="s">
        <v>107</v>
      </c>
      <c r="B63" s="202" t="s">
        <v>100</v>
      </c>
      <c r="C63" s="77">
        <v>8046</v>
      </c>
      <c r="D63" s="77">
        <v>153996</v>
      </c>
      <c r="E63" s="77">
        <v>10621</v>
      </c>
      <c r="F63" s="77">
        <v>21895</v>
      </c>
      <c r="G63" s="77">
        <v>9948</v>
      </c>
      <c r="H63" s="77">
        <v>8343</v>
      </c>
      <c r="I63" s="46">
        <v>212849</v>
      </c>
    </row>
    <row r="64" spans="1:9" s="3" customFormat="1" ht="19.5" customHeight="1" thickBot="1">
      <c r="A64" s="307"/>
      <c r="B64" s="208" t="s">
        <v>89</v>
      </c>
      <c r="C64" s="107">
        <v>3.780144609558889</v>
      </c>
      <c r="D64" s="107">
        <v>72.34988184111741</v>
      </c>
      <c r="E64" s="107">
        <v>4.989922433274293</v>
      </c>
      <c r="F64" s="107">
        <v>10.286635126310202</v>
      </c>
      <c r="G64" s="107">
        <v>4.673735840901296</v>
      </c>
      <c r="H64" s="107">
        <v>3.9196801488379087</v>
      </c>
      <c r="I64" s="209">
        <v>100</v>
      </c>
    </row>
    <row r="65" spans="1:9" s="3" customFormat="1" ht="30" customHeight="1">
      <c r="A65" s="306" t="s">
        <v>0</v>
      </c>
      <c r="B65" s="205" t="s">
        <v>100</v>
      </c>
      <c r="C65" s="46">
        <v>1065716</v>
      </c>
      <c r="D65" s="46">
        <v>4520990</v>
      </c>
      <c r="E65" s="46">
        <v>551926</v>
      </c>
      <c r="F65" s="46">
        <v>863410</v>
      </c>
      <c r="G65" s="46">
        <v>416228</v>
      </c>
      <c r="H65" s="46">
        <v>252389</v>
      </c>
      <c r="I65" s="46">
        <v>7670659</v>
      </c>
    </row>
    <row r="66" spans="1:9" s="3" customFormat="1" ht="30" customHeight="1" thickBot="1">
      <c r="A66" s="307"/>
      <c r="B66" s="210" t="s">
        <v>89</v>
      </c>
      <c r="C66" s="209">
        <v>13.893408636728605</v>
      </c>
      <c r="D66" s="209">
        <v>58.93874307279205</v>
      </c>
      <c r="E66" s="209">
        <v>7.1952879146368</v>
      </c>
      <c r="F66" s="209">
        <v>11.25600812133612</v>
      </c>
      <c r="G66" s="209">
        <v>5.4262352165570125</v>
      </c>
      <c r="H66" s="209">
        <v>3.290317037949412</v>
      </c>
      <c r="I66" s="209">
        <v>100</v>
      </c>
    </row>
    <row r="67" spans="1:9" s="3" customFormat="1" ht="13.5" thickBot="1">
      <c r="A67" s="285">
        <v>2010</v>
      </c>
      <c r="B67" s="285"/>
      <c r="C67" s="285"/>
      <c r="D67" s="285"/>
      <c r="E67" s="285"/>
      <c r="F67" s="285"/>
      <c r="G67" s="285"/>
      <c r="H67" s="285"/>
      <c r="I67" s="285"/>
    </row>
    <row r="68" spans="1:9" s="3" customFormat="1" ht="13.5" thickBot="1">
      <c r="A68" s="308" t="s">
        <v>39</v>
      </c>
      <c r="B68" s="308"/>
      <c r="C68" s="200" t="s">
        <v>17</v>
      </c>
      <c r="D68" s="201" t="s">
        <v>26</v>
      </c>
      <c r="E68" s="201" t="s">
        <v>20</v>
      </c>
      <c r="F68" s="201" t="s">
        <v>21</v>
      </c>
      <c r="G68" s="201" t="s">
        <v>40</v>
      </c>
      <c r="H68" s="201" t="s">
        <v>18</v>
      </c>
      <c r="I68" s="200" t="s">
        <v>0</v>
      </c>
    </row>
    <row r="69" spans="1:9" ht="24">
      <c r="A69" s="306" t="s">
        <v>102</v>
      </c>
      <c r="B69" s="202" t="s">
        <v>100</v>
      </c>
      <c r="C69" s="213">
        <v>982651</v>
      </c>
      <c r="D69" s="213">
        <v>5480704</v>
      </c>
      <c r="E69" s="213">
        <v>472104</v>
      </c>
      <c r="F69" s="213">
        <v>848854</v>
      </c>
      <c r="G69" s="213">
        <v>328972</v>
      </c>
      <c r="H69" s="213">
        <v>89908</v>
      </c>
      <c r="I69" s="214">
        <v>8203193</v>
      </c>
    </row>
    <row r="70" spans="1:9" ht="13.5" thickBot="1">
      <c r="A70" s="307"/>
      <c r="B70" s="208" t="s">
        <v>89</v>
      </c>
      <c r="C70" s="215">
        <v>11.978884319800839</v>
      </c>
      <c r="D70" s="215">
        <v>66.81183778072757</v>
      </c>
      <c r="E70" s="215">
        <v>5.755124864183983</v>
      </c>
      <c r="F70" s="215">
        <v>10.34784869745232</v>
      </c>
      <c r="G70" s="215">
        <v>4.01029208992157</v>
      </c>
      <c r="H70" s="215">
        <v>1.0960122479137087</v>
      </c>
      <c r="I70" s="216">
        <v>100</v>
      </c>
    </row>
    <row r="71" spans="1:9" ht="24">
      <c r="A71" s="306" t="s">
        <v>108</v>
      </c>
      <c r="B71" s="202" t="s">
        <v>100</v>
      </c>
      <c r="C71" s="213">
        <v>107403</v>
      </c>
      <c r="D71" s="213">
        <v>351267</v>
      </c>
      <c r="E71" s="213">
        <v>35221</v>
      </c>
      <c r="F71" s="213">
        <v>63137</v>
      </c>
      <c r="G71" s="213">
        <v>37310</v>
      </c>
      <c r="H71" s="213">
        <v>3365</v>
      </c>
      <c r="I71" s="214">
        <v>597703</v>
      </c>
    </row>
    <row r="72" spans="1:9" ht="13.5" thickBot="1">
      <c r="A72" s="307"/>
      <c r="B72" s="208" t="s">
        <v>89</v>
      </c>
      <c r="C72" s="215">
        <v>17.96929244122917</v>
      </c>
      <c r="D72" s="215">
        <v>58.769489194466146</v>
      </c>
      <c r="E72" s="215">
        <v>5.892725985983005</v>
      </c>
      <c r="F72" s="215">
        <v>10.563273063712245</v>
      </c>
      <c r="G72" s="215">
        <v>6.242230673093493</v>
      </c>
      <c r="H72" s="215">
        <v>0.5629886415159369</v>
      </c>
      <c r="I72" s="216">
        <v>100</v>
      </c>
    </row>
    <row r="73" spans="1:9" ht="24">
      <c r="A73" s="306" t="s">
        <v>104</v>
      </c>
      <c r="B73" s="202" t="s">
        <v>100</v>
      </c>
      <c r="C73" s="213">
        <v>35682</v>
      </c>
      <c r="D73" s="213">
        <v>108623</v>
      </c>
      <c r="E73" s="213">
        <v>139</v>
      </c>
      <c r="F73" s="213">
        <v>10663</v>
      </c>
      <c r="G73" s="213">
        <v>0</v>
      </c>
      <c r="H73" s="213">
        <v>712</v>
      </c>
      <c r="I73" s="214">
        <v>155819</v>
      </c>
    </row>
    <row r="74" spans="1:9" ht="24" customHeight="1" thickBot="1">
      <c r="A74" s="307"/>
      <c r="B74" s="208" t="s">
        <v>89</v>
      </c>
      <c r="C74" s="215">
        <v>22.899646384587246</v>
      </c>
      <c r="D74" s="215">
        <v>69.71101085233508</v>
      </c>
      <c r="E74" s="215">
        <v>0.08920606601248884</v>
      </c>
      <c r="F74" s="215">
        <v>6.843196272598335</v>
      </c>
      <c r="G74" s="215">
        <v>0</v>
      </c>
      <c r="H74" s="215">
        <v>0.45694042446684935</v>
      </c>
      <c r="I74" s="216">
        <v>100</v>
      </c>
    </row>
    <row r="75" spans="1:9" ht="24">
      <c r="A75" s="306" t="s">
        <v>105</v>
      </c>
      <c r="B75" s="202" t="s">
        <v>100</v>
      </c>
      <c r="C75" s="213">
        <v>1750</v>
      </c>
      <c r="D75" s="213">
        <v>64057</v>
      </c>
      <c r="E75" s="213">
        <v>3741</v>
      </c>
      <c r="F75" s="213">
        <v>30969</v>
      </c>
      <c r="G75" s="213">
        <v>4153</v>
      </c>
      <c r="H75" s="213">
        <v>4524</v>
      </c>
      <c r="I75" s="214">
        <v>109194</v>
      </c>
    </row>
    <row r="76" spans="1:9" ht="31.5" customHeight="1" thickBot="1">
      <c r="A76" s="307"/>
      <c r="B76" s="208" t="s">
        <v>89</v>
      </c>
      <c r="C76" s="215">
        <v>1.6026521603751123</v>
      </c>
      <c r="D76" s="215">
        <v>58.66347967837061</v>
      </c>
      <c r="E76" s="215">
        <v>3.42601241826474</v>
      </c>
      <c r="F76" s="215">
        <v>28.361448431232485</v>
      </c>
      <c r="G76" s="215">
        <v>3.803322526878766</v>
      </c>
      <c r="H76" s="215">
        <v>4.14308478487829</v>
      </c>
      <c r="I76" s="216">
        <v>100</v>
      </c>
    </row>
    <row r="77" spans="1:9" ht="24">
      <c r="A77" s="306" t="s">
        <v>106</v>
      </c>
      <c r="B77" s="202" t="s">
        <v>100</v>
      </c>
      <c r="C77" s="213">
        <v>1617</v>
      </c>
      <c r="D77" s="213">
        <v>372150</v>
      </c>
      <c r="E77" s="213">
        <v>72056</v>
      </c>
      <c r="F77" s="213">
        <v>27885</v>
      </c>
      <c r="G77" s="213">
        <v>8063</v>
      </c>
      <c r="H77" s="213">
        <v>38309</v>
      </c>
      <c r="I77" s="214">
        <v>520080</v>
      </c>
    </row>
    <row r="78" spans="1:9" ht="27.75" customHeight="1" thickBot="1">
      <c r="A78" s="307"/>
      <c r="B78" s="208" t="s">
        <v>89</v>
      </c>
      <c r="C78" s="215">
        <v>0.31091370558375636</v>
      </c>
      <c r="D78" s="215">
        <v>71.55629903091832</v>
      </c>
      <c r="E78" s="215">
        <v>13.854791570527611</v>
      </c>
      <c r="F78" s="215">
        <v>5.361675126903553</v>
      </c>
      <c r="G78" s="215">
        <v>1.5503384094754653</v>
      </c>
      <c r="H78" s="215">
        <v>7.3659821565912935</v>
      </c>
      <c r="I78" s="216">
        <v>100</v>
      </c>
    </row>
    <row r="79" spans="1:9" ht="24">
      <c r="A79" s="306" t="s">
        <v>107</v>
      </c>
      <c r="B79" s="202" t="s">
        <v>100</v>
      </c>
      <c r="C79" s="213">
        <v>122024</v>
      </c>
      <c r="D79" s="213">
        <v>123960</v>
      </c>
      <c r="E79" s="213">
        <v>4888</v>
      </c>
      <c r="F79" s="213">
        <v>7538</v>
      </c>
      <c r="G79" s="213">
        <v>2219</v>
      </c>
      <c r="H79" s="213">
        <v>11325</v>
      </c>
      <c r="I79" s="214">
        <v>271954</v>
      </c>
    </row>
    <row r="80" spans="1:9" ht="13.5" thickBot="1">
      <c r="A80" s="307"/>
      <c r="B80" s="208" t="s">
        <v>89</v>
      </c>
      <c r="C80" s="215">
        <v>44.869352905270745</v>
      </c>
      <c r="D80" s="215">
        <v>45.581238003485886</v>
      </c>
      <c r="E80" s="215">
        <v>1.7973627892952484</v>
      </c>
      <c r="F80" s="215">
        <v>2.771792288401715</v>
      </c>
      <c r="G80" s="215">
        <v>0.815946814534811</v>
      </c>
      <c r="H80" s="215">
        <v>4.164307199011597</v>
      </c>
      <c r="I80" s="216">
        <v>100</v>
      </c>
    </row>
    <row r="81" spans="1:9" ht="24">
      <c r="A81" s="306" t="s">
        <v>0</v>
      </c>
      <c r="B81" s="205" t="s">
        <v>100</v>
      </c>
      <c r="C81" s="213">
        <v>1251127</v>
      </c>
      <c r="D81" s="213">
        <v>6500761</v>
      </c>
      <c r="E81" s="213">
        <v>588149</v>
      </c>
      <c r="F81" s="213">
        <v>989046</v>
      </c>
      <c r="G81" s="213">
        <v>380717</v>
      </c>
      <c r="H81" s="213">
        <v>148143</v>
      </c>
      <c r="I81" s="214">
        <v>9857943</v>
      </c>
    </row>
    <row r="82" spans="1:9" ht="13.5" thickBot="1">
      <c r="A82" s="307"/>
      <c r="B82" s="210" t="s">
        <v>89</v>
      </c>
      <c r="C82" s="215">
        <v>12.691562529830007</v>
      </c>
      <c r="D82" s="215">
        <v>65.9443963106705</v>
      </c>
      <c r="E82" s="215">
        <v>5.9662446820802275</v>
      </c>
      <c r="F82" s="215">
        <v>10.032985583300695</v>
      </c>
      <c r="G82" s="215">
        <v>3.862032880490382</v>
      </c>
      <c r="H82" s="215">
        <v>1.502778013628198</v>
      </c>
      <c r="I82" s="216">
        <v>100.00000000000001</v>
      </c>
    </row>
    <row r="83" spans="1:9" s="3" customFormat="1" ht="13.5" thickBot="1">
      <c r="A83" s="285">
        <v>2011</v>
      </c>
      <c r="B83" s="285"/>
      <c r="C83" s="285"/>
      <c r="D83" s="285"/>
      <c r="E83" s="285"/>
      <c r="F83" s="285"/>
      <c r="G83" s="285"/>
      <c r="H83" s="285"/>
      <c r="I83" s="285"/>
    </row>
    <row r="84" spans="1:9" s="3" customFormat="1" ht="13.5" thickBot="1">
      <c r="A84" s="308" t="s">
        <v>39</v>
      </c>
      <c r="B84" s="308"/>
      <c r="C84" s="200" t="s">
        <v>17</v>
      </c>
      <c r="D84" s="201" t="s">
        <v>26</v>
      </c>
      <c r="E84" s="201" t="s">
        <v>20</v>
      </c>
      <c r="F84" s="201" t="s">
        <v>21</v>
      </c>
      <c r="G84" s="201" t="s">
        <v>40</v>
      </c>
      <c r="H84" s="201" t="s">
        <v>18</v>
      </c>
      <c r="I84" s="200" t="s">
        <v>0</v>
      </c>
    </row>
    <row r="85" spans="1:9" ht="24">
      <c r="A85" s="306" t="s">
        <v>102</v>
      </c>
      <c r="B85" s="202" t="s">
        <v>100</v>
      </c>
      <c r="C85" s="213">
        <v>767050</v>
      </c>
      <c r="D85" s="213">
        <v>4876149</v>
      </c>
      <c r="E85" s="213">
        <v>510009</v>
      </c>
      <c r="F85" s="213">
        <v>837179</v>
      </c>
      <c r="G85" s="213">
        <v>352582</v>
      </c>
      <c r="H85" s="213">
        <v>58342</v>
      </c>
      <c r="I85" s="214">
        <f>SUM(C85:H85)</f>
        <v>7401311</v>
      </c>
    </row>
    <row r="86" spans="1:9" ht="13.5" thickBot="1">
      <c r="A86" s="307"/>
      <c r="B86" s="208" t="s">
        <v>89</v>
      </c>
      <c r="C86" s="215">
        <v>10.4</v>
      </c>
      <c r="D86" s="215">
        <v>65.9</v>
      </c>
      <c r="E86" s="215">
        <v>6.9</v>
      </c>
      <c r="F86" s="215">
        <v>11.3</v>
      </c>
      <c r="G86" s="215">
        <v>4.8</v>
      </c>
      <c r="H86" s="215">
        <v>0.8</v>
      </c>
      <c r="I86" s="217">
        <f>SUM(C86:H86)</f>
        <v>100.10000000000001</v>
      </c>
    </row>
    <row r="87" spans="1:9" ht="24">
      <c r="A87" s="306" t="s">
        <v>108</v>
      </c>
      <c r="B87" s="202" t="s">
        <v>100</v>
      </c>
      <c r="C87" s="213">
        <v>116818</v>
      </c>
      <c r="D87" s="213">
        <v>382079</v>
      </c>
      <c r="E87" s="213">
        <v>49755</v>
      </c>
      <c r="F87" s="213">
        <v>42132</v>
      </c>
      <c r="G87" s="213">
        <v>24623</v>
      </c>
      <c r="H87" s="213">
        <v>778</v>
      </c>
      <c r="I87" s="214">
        <f aca="true" t="shared" si="0" ref="I87:I96">SUM(C87:H87)</f>
        <v>616185</v>
      </c>
    </row>
    <row r="88" spans="1:9" ht="13.5" thickBot="1">
      <c r="A88" s="307"/>
      <c r="B88" s="208" t="s">
        <v>89</v>
      </c>
      <c r="C88" s="215">
        <v>19</v>
      </c>
      <c r="D88" s="215">
        <v>62</v>
      </c>
      <c r="E88" s="215">
        <v>8.1</v>
      </c>
      <c r="F88" s="215">
        <v>6.8</v>
      </c>
      <c r="G88" s="215">
        <v>4</v>
      </c>
      <c r="H88" s="215">
        <v>0.1</v>
      </c>
      <c r="I88" s="217">
        <f t="shared" si="0"/>
        <v>99.99999999999999</v>
      </c>
    </row>
    <row r="89" spans="1:9" ht="24">
      <c r="A89" s="306" t="s">
        <v>104</v>
      </c>
      <c r="B89" s="202" t="s">
        <v>100</v>
      </c>
      <c r="C89" s="213">
        <v>41017</v>
      </c>
      <c r="D89" s="213">
        <v>143157</v>
      </c>
      <c r="E89" s="213">
        <v>597</v>
      </c>
      <c r="F89" s="213">
        <v>8709</v>
      </c>
      <c r="G89" s="213">
        <v>0</v>
      </c>
      <c r="H89" s="213">
        <v>38973</v>
      </c>
      <c r="I89" s="214">
        <f t="shared" si="0"/>
        <v>232453</v>
      </c>
    </row>
    <row r="90" spans="1:9" ht="24" customHeight="1" thickBot="1">
      <c r="A90" s="307"/>
      <c r="B90" s="208" t="s">
        <v>89</v>
      </c>
      <c r="C90" s="215">
        <v>17.6</v>
      </c>
      <c r="D90" s="215">
        <v>61.6</v>
      </c>
      <c r="E90" s="215">
        <v>0.3</v>
      </c>
      <c r="F90" s="215">
        <v>3.7</v>
      </c>
      <c r="G90" s="215">
        <v>0</v>
      </c>
      <c r="H90" s="215">
        <v>16.8</v>
      </c>
      <c r="I90" s="217">
        <f t="shared" si="0"/>
        <v>100</v>
      </c>
    </row>
    <row r="91" spans="1:9" ht="24">
      <c r="A91" s="306" t="s">
        <v>105</v>
      </c>
      <c r="B91" s="202" t="s">
        <v>100</v>
      </c>
      <c r="C91" s="213">
        <v>27902</v>
      </c>
      <c r="D91" s="213">
        <v>46991</v>
      </c>
      <c r="E91" s="213">
        <v>15307</v>
      </c>
      <c r="F91" s="213">
        <v>6973</v>
      </c>
      <c r="G91" s="213">
        <v>1514</v>
      </c>
      <c r="H91" s="213">
        <v>5712</v>
      </c>
      <c r="I91" s="214">
        <f t="shared" si="0"/>
        <v>104399</v>
      </c>
    </row>
    <row r="92" spans="1:9" ht="31.5" customHeight="1" thickBot="1">
      <c r="A92" s="307"/>
      <c r="B92" s="208" t="s">
        <v>89</v>
      </c>
      <c r="C92" s="215">
        <v>26.7</v>
      </c>
      <c r="D92" s="215">
        <v>45</v>
      </c>
      <c r="E92" s="215">
        <v>14.7</v>
      </c>
      <c r="F92" s="215">
        <v>6.7</v>
      </c>
      <c r="G92" s="215">
        <v>1.5</v>
      </c>
      <c r="H92" s="215">
        <v>5.5</v>
      </c>
      <c r="I92" s="217">
        <f t="shared" si="0"/>
        <v>100.10000000000001</v>
      </c>
    </row>
    <row r="93" spans="1:9" ht="24">
      <c r="A93" s="306" t="s">
        <v>106</v>
      </c>
      <c r="B93" s="202" t="s">
        <v>100</v>
      </c>
      <c r="C93" s="213">
        <v>85111</v>
      </c>
      <c r="D93" s="213">
        <v>241311</v>
      </c>
      <c r="E93" s="213">
        <v>47677</v>
      </c>
      <c r="F93" s="213">
        <v>16033</v>
      </c>
      <c r="G93" s="213">
        <v>6544</v>
      </c>
      <c r="H93" s="213">
        <v>28142</v>
      </c>
      <c r="I93" s="214">
        <f t="shared" si="0"/>
        <v>424818</v>
      </c>
    </row>
    <row r="94" spans="1:9" ht="27.75" customHeight="1" thickBot="1">
      <c r="A94" s="307"/>
      <c r="B94" s="208" t="s">
        <v>89</v>
      </c>
      <c r="C94" s="215">
        <v>20</v>
      </c>
      <c r="D94" s="215">
        <v>56.8</v>
      </c>
      <c r="E94" s="215">
        <v>11.2</v>
      </c>
      <c r="F94" s="215">
        <v>3.8</v>
      </c>
      <c r="G94" s="215">
        <v>1.5</v>
      </c>
      <c r="H94" s="215">
        <v>6.6</v>
      </c>
      <c r="I94" s="217">
        <f t="shared" si="0"/>
        <v>99.89999999999999</v>
      </c>
    </row>
    <row r="95" spans="1:9" ht="24">
      <c r="A95" s="306" t="s">
        <v>107</v>
      </c>
      <c r="B95" s="202" t="s">
        <v>100</v>
      </c>
      <c r="C95" s="213">
        <v>2481</v>
      </c>
      <c r="D95" s="213">
        <v>80675</v>
      </c>
      <c r="E95" s="213">
        <v>8616</v>
      </c>
      <c r="F95" s="213">
        <v>30437</v>
      </c>
      <c r="G95" s="213">
        <v>7372</v>
      </c>
      <c r="H95" s="213">
        <v>2497</v>
      </c>
      <c r="I95" s="214">
        <f t="shared" si="0"/>
        <v>132078</v>
      </c>
    </row>
    <row r="96" spans="1:9" ht="13.5" thickBot="1">
      <c r="A96" s="307"/>
      <c r="B96" s="208" t="s">
        <v>89</v>
      </c>
      <c r="C96" s="215">
        <v>1.9</v>
      </c>
      <c r="D96" s="215">
        <v>61.1</v>
      </c>
      <c r="E96" s="215">
        <v>6.5</v>
      </c>
      <c r="F96" s="215">
        <v>23</v>
      </c>
      <c r="G96" s="215">
        <v>5.6</v>
      </c>
      <c r="H96" s="215">
        <v>1.9</v>
      </c>
      <c r="I96" s="217">
        <f t="shared" si="0"/>
        <v>100</v>
      </c>
    </row>
    <row r="97" spans="1:9" s="3" customFormat="1" ht="30" customHeight="1">
      <c r="A97" s="306" t="s">
        <v>0</v>
      </c>
      <c r="B97" s="205" t="s">
        <v>100</v>
      </c>
      <c r="C97" s="214">
        <f>C85+C87+C89+C91+C93+C95</f>
        <v>1040379</v>
      </c>
      <c r="D97" s="214">
        <f aca="true" t="shared" si="1" ref="D97:I97">D85+D87+D89+D91+D93+D95</f>
        <v>5770362</v>
      </c>
      <c r="E97" s="214">
        <f t="shared" si="1"/>
        <v>631961</v>
      </c>
      <c r="F97" s="214">
        <f t="shared" si="1"/>
        <v>941463</v>
      </c>
      <c r="G97" s="214">
        <f t="shared" si="1"/>
        <v>392635</v>
      </c>
      <c r="H97" s="214">
        <f t="shared" si="1"/>
        <v>134444</v>
      </c>
      <c r="I97" s="214">
        <f t="shared" si="1"/>
        <v>8911244</v>
      </c>
    </row>
    <row r="98" spans="1:9" s="3" customFormat="1" ht="30" customHeight="1" thickBot="1">
      <c r="A98" s="307"/>
      <c r="B98" s="210" t="s">
        <v>89</v>
      </c>
      <c r="C98" s="218">
        <f>C97/$I97</f>
        <v>0.11674901955327449</v>
      </c>
      <c r="D98" s="218">
        <f aca="true" t="shared" si="2" ref="D98:I98">D97/$I97</f>
        <v>0.6475372013155515</v>
      </c>
      <c r="E98" s="218">
        <f t="shared" si="2"/>
        <v>0.07091725913912805</v>
      </c>
      <c r="F98" s="218">
        <f t="shared" si="2"/>
        <v>0.10564888583457034</v>
      </c>
      <c r="G98" s="218">
        <f t="shared" si="2"/>
        <v>0.04406062722555908</v>
      </c>
      <c r="H98" s="218">
        <f t="shared" si="2"/>
        <v>0.015087006931916577</v>
      </c>
      <c r="I98" s="218">
        <f t="shared" si="2"/>
        <v>1</v>
      </c>
    </row>
    <row r="99" spans="1:9" s="3" customFormat="1" ht="13.5" thickBot="1">
      <c r="A99" s="285">
        <v>2012</v>
      </c>
      <c r="B99" s="285"/>
      <c r="C99" s="285"/>
      <c r="D99" s="285"/>
      <c r="E99" s="285"/>
      <c r="F99" s="285"/>
      <c r="G99" s="285"/>
      <c r="H99" s="285"/>
      <c r="I99" s="285"/>
    </row>
    <row r="100" spans="1:9" s="3" customFormat="1" ht="13.5" thickBot="1">
      <c r="A100" s="308" t="s">
        <v>39</v>
      </c>
      <c r="B100" s="308"/>
      <c r="C100" s="200" t="s">
        <v>17</v>
      </c>
      <c r="D100" s="201" t="s">
        <v>26</v>
      </c>
      <c r="E100" s="201" t="s">
        <v>20</v>
      </c>
      <c r="F100" s="201" t="s">
        <v>21</v>
      </c>
      <c r="G100" s="201" t="s">
        <v>40</v>
      </c>
      <c r="H100" s="201" t="s">
        <v>18</v>
      </c>
      <c r="I100" s="200" t="s">
        <v>0</v>
      </c>
    </row>
    <row r="101" spans="1:9" ht="24">
      <c r="A101" s="306" t="s">
        <v>102</v>
      </c>
      <c r="B101" s="202" t="s">
        <v>100</v>
      </c>
      <c r="C101" s="213">
        <v>676827</v>
      </c>
      <c r="D101" s="213">
        <v>4220039</v>
      </c>
      <c r="E101" s="213">
        <v>535524</v>
      </c>
      <c r="F101" s="213">
        <v>852403</v>
      </c>
      <c r="G101" s="213">
        <v>342151</v>
      </c>
      <c r="H101" s="213">
        <v>87000</v>
      </c>
      <c r="I101" s="214">
        <f>SUM(C101:H101)</f>
        <v>6713944</v>
      </c>
    </row>
    <row r="102" spans="1:9" ht="13.5" thickBot="1">
      <c r="A102" s="307"/>
      <c r="B102" s="208" t="s">
        <v>89</v>
      </c>
      <c r="C102" s="215">
        <v>10.1</v>
      </c>
      <c r="D102" s="215">
        <v>62.9</v>
      </c>
      <c r="E102" s="215">
        <v>8</v>
      </c>
      <c r="F102" s="215">
        <v>12.7</v>
      </c>
      <c r="G102" s="215">
        <v>5.1</v>
      </c>
      <c r="H102" s="215">
        <v>1.3</v>
      </c>
      <c r="I102" s="216">
        <f>SUM(C102:H102)</f>
        <v>100.1</v>
      </c>
    </row>
    <row r="103" spans="1:9" ht="24">
      <c r="A103" s="306" t="s">
        <v>108</v>
      </c>
      <c r="B103" s="202" t="s">
        <v>100</v>
      </c>
      <c r="C103" s="213">
        <v>112386</v>
      </c>
      <c r="D103" s="213">
        <v>600413</v>
      </c>
      <c r="E103" s="213">
        <v>62833</v>
      </c>
      <c r="F103" s="213">
        <v>40739</v>
      </c>
      <c r="G103" s="213">
        <v>22985</v>
      </c>
      <c r="H103" s="213">
        <v>5508</v>
      </c>
      <c r="I103" s="214">
        <f aca="true" t="shared" si="3" ref="I103:I112">SUM(C103:H103)</f>
        <v>844864</v>
      </c>
    </row>
    <row r="104" spans="1:9" ht="13.5" thickBot="1">
      <c r="A104" s="307"/>
      <c r="B104" s="208" t="s">
        <v>89</v>
      </c>
      <c r="C104" s="215">
        <v>13.3</v>
      </c>
      <c r="D104" s="215">
        <v>71.1</v>
      </c>
      <c r="E104" s="215">
        <v>7.4</v>
      </c>
      <c r="F104" s="215">
        <v>4.8</v>
      </c>
      <c r="G104" s="215">
        <v>2.7</v>
      </c>
      <c r="H104" s="215">
        <v>0.7</v>
      </c>
      <c r="I104" s="216">
        <f t="shared" si="3"/>
        <v>100</v>
      </c>
    </row>
    <row r="105" spans="1:9" ht="24">
      <c r="A105" s="306" t="s">
        <v>104</v>
      </c>
      <c r="B105" s="202" t="s">
        <v>100</v>
      </c>
      <c r="C105" s="213">
        <v>1780</v>
      </c>
      <c r="D105" s="213">
        <v>98419</v>
      </c>
      <c r="E105" s="213">
        <v>0</v>
      </c>
      <c r="F105" s="213">
        <v>0</v>
      </c>
      <c r="G105" s="213">
        <v>0</v>
      </c>
      <c r="H105" s="213">
        <v>3560</v>
      </c>
      <c r="I105" s="214">
        <f t="shared" si="3"/>
        <v>103759</v>
      </c>
    </row>
    <row r="106" spans="1:9" ht="24" customHeight="1" thickBot="1">
      <c r="A106" s="307"/>
      <c r="B106" s="208" t="s">
        <v>89</v>
      </c>
      <c r="C106" s="215">
        <v>1.7</v>
      </c>
      <c r="D106" s="215">
        <v>94.9</v>
      </c>
      <c r="E106" s="215">
        <v>0</v>
      </c>
      <c r="F106" s="215">
        <v>0</v>
      </c>
      <c r="G106" s="215">
        <v>0</v>
      </c>
      <c r="H106" s="215">
        <v>3.4</v>
      </c>
      <c r="I106" s="216">
        <f t="shared" si="3"/>
        <v>100.00000000000001</v>
      </c>
    </row>
    <row r="107" spans="1:9" ht="24">
      <c r="A107" s="306" t="s">
        <v>105</v>
      </c>
      <c r="B107" s="202" t="s">
        <v>100</v>
      </c>
      <c r="C107" s="213">
        <v>69072</v>
      </c>
      <c r="D107" s="213">
        <v>183046</v>
      </c>
      <c r="E107" s="213">
        <v>15979</v>
      </c>
      <c r="F107" s="213">
        <v>17152</v>
      </c>
      <c r="G107" s="213">
        <v>3660</v>
      </c>
      <c r="H107" s="213">
        <v>0</v>
      </c>
      <c r="I107" s="214">
        <f t="shared" si="3"/>
        <v>288909</v>
      </c>
    </row>
    <row r="108" spans="1:9" ht="31.5" customHeight="1" thickBot="1">
      <c r="A108" s="307"/>
      <c r="B108" s="208" t="s">
        <v>89</v>
      </c>
      <c r="C108" s="215">
        <v>23.9</v>
      </c>
      <c r="D108" s="215">
        <v>63.4</v>
      </c>
      <c r="E108" s="215">
        <v>5.5</v>
      </c>
      <c r="F108" s="215">
        <v>5.9</v>
      </c>
      <c r="G108" s="215">
        <v>1.3</v>
      </c>
      <c r="H108" s="215">
        <v>0</v>
      </c>
      <c r="I108" s="216">
        <f t="shared" si="3"/>
        <v>100</v>
      </c>
    </row>
    <row r="109" spans="1:9" ht="24">
      <c r="A109" s="306" t="s">
        <v>106</v>
      </c>
      <c r="B109" s="202" t="s">
        <v>100</v>
      </c>
      <c r="C109" s="213">
        <v>0</v>
      </c>
      <c r="D109" s="213">
        <v>245688</v>
      </c>
      <c r="E109" s="213">
        <v>87504</v>
      </c>
      <c r="F109" s="213">
        <v>20641</v>
      </c>
      <c r="G109" s="213">
        <v>11385</v>
      </c>
      <c r="H109" s="213">
        <v>32083</v>
      </c>
      <c r="I109" s="214">
        <f t="shared" si="3"/>
        <v>397301</v>
      </c>
    </row>
    <row r="110" spans="1:9" ht="27.75" customHeight="1" thickBot="1">
      <c r="A110" s="307"/>
      <c r="B110" s="208" t="s">
        <v>89</v>
      </c>
      <c r="C110" s="215">
        <v>0</v>
      </c>
      <c r="D110" s="215">
        <v>61.8</v>
      </c>
      <c r="E110" s="215">
        <v>22</v>
      </c>
      <c r="F110" s="215">
        <v>5.2</v>
      </c>
      <c r="G110" s="215">
        <v>2.9</v>
      </c>
      <c r="H110" s="215">
        <v>8.1</v>
      </c>
      <c r="I110" s="216">
        <f t="shared" si="3"/>
        <v>100</v>
      </c>
    </row>
    <row r="111" spans="1:9" ht="24">
      <c r="A111" s="306" t="s">
        <v>107</v>
      </c>
      <c r="B111" s="202" t="s">
        <v>100</v>
      </c>
      <c r="C111" s="213">
        <v>33627</v>
      </c>
      <c r="D111" s="213">
        <v>89490</v>
      </c>
      <c r="E111" s="213">
        <v>3292</v>
      </c>
      <c r="F111" s="213">
        <v>2712</v>
      </c>
      <c r="G111" s="213">
        <v>6677</v>
      </c>
      <c r="H111" s="213">
        <v>0</v>
      </c>
      <c r="I111" s="214">
        <f t="shared" si="3"/>
        <v>135798</v>
      </c>
    </row>
    <row r="112" spans="1:9" ht="13.5" thickBot="1">
      <c r="A112" s="307"/>
      <c r="B112" s="208" t="s">
        <v>89</v>
      </c>
      <c r="C112" s="215">
        <v>24.8</v>
      </c>
      <c r="D112" s="215">
        <v>65.9</v>
      </c>
      <c r="E112" s="215">
        <v>2.4</v>
      </c>
      <c r="F112" s="215">
        <v>2</v>
      </c>
      <c r="G112" s="215">
        <v>4.9</v>
      </c>
      <c r="H112" s="215">
        <v>0</v>
      </c>
      <c r="I112" s="216">
        <f t="shared" si="3"/>
        <v>100.00000000000001</v>
      </c>
    </row>
    <row r="113" spans="1:9" s="3" customFormat="1" ht="30" customHeight="1">
      <c r="A113" s="306" t="s">
        <v>0</v>
      </c>
      <c r="B113" s="205" t="s">
        <v>100</v>
      </c>
      <c r="C113" s="214">
        <f>C101+C103+C105+C107+C109+C111</f>
        <v>893692</v>
      </c>
      <c r="D113" s="214">
        <f aca="true" t="shared" si="4" ref="D113:I113">D101+D103+D105+D107+D109+D111</f>
        <v>5437095</v>
      </c>
      <c r="E113" s="214">
        <f t="shared" si="4"/>
        <v>705132</v>
      </c>
      <c r="F113" s="214">
        <f t="shared" si="4"/>
        <v>933647</v>
      </c>
      <c r="G113" s="214">
        <f t="shared" si="4"/>
        <v>386858</v>
      </c>
      <c r="H113" s="214">
        <f t="shared" si="4"/>
        <v>128151</v>
      </c>
      <c r="I113" s="214">
        <f t="shared" si="4"/>
        <v>8484575</v>
      </c>
    </row>
    <row r="114" spans="1:9" s="3" customFormat="1" ht="30" customHeight="1" thickBot="1">
      <c r="A114" s="307"/>
      <c r="B114" s="210" t="s">
        <v>89</v>
      </c>
      <c r="C114" s="218">
        <f>C113/$I113</f>
        <v>0.10533138077039804</v>
      </c>
      <c r="D114" s="218">
        <f aca="true" t="shared" si="5" ref="D114:I114">D113/$I113</f>
        <v>0.6408211371812966</v>
      </c>
      <c r="E114" s="218">
        <f t="shared" si="5"/>
        <v>0.08310752159065127</v>
      </c>
      <c r="F114" s="218">
        <f t="shared" si="5"/>
        <v>0.1100405146987327</v>
      </c>
      <c r="G114" s="218">
        <f t="shared" si="5"/>
        <v>0.04559544821042893</v>
      </c>
      <c r="H114" s="218">
        <f t="shared" si="5"/>
        <v>0.01510399754849241</v>
      </c>
      <c r="I114" s="218">
        <f t="shared" si="5"/>
        <v>1</v>
      </c>
    </row>
    <row r="115" ht="12.75">
      <c r="A115" s="130" t="s">
        <v>63</v>
      </c>
    </row>
  </sheetData>
  <sheetProtection/>
  <mergeCells count="63">
    <mergeCell ref="A97:A98"/>
    <mergeCell ref="A87:A88"/>
    <mergeCell ref="A89:A90"/>
    <mergeCell ref="A91:A92"/>
    <mergeCell ref="A93:A94"/>
    <mergeCell ref="A95:A96"/>
    <mergeCell ref="A77:A78"/>
    <mergeCell ref="A79:A80"/>
    <mergeCell ref="A81:A82"/>
    <mergeCell ref="A83:I83"/>
    <mergeCell ref="A84:B84"/>
    <mergeCell ref="A85:A86"/>
    <mergeCell ref="A67:I67"/>
    <mergeCell ref="A68:B68"/>
    <mergeCell ref="A69:A70"/>
    <mergeCell ref="A71:A72"/>
    <mergeCell ref="A73:A74"/>
    <mergeCell ref="A75:A76"/>
    <mergeCell ref="A55:A56"/>
    <mergeCell ref="A57:A58"/>
    <mergeCell ref="A59:A60"/>
    <mergeCell ref="A61:A62"/>
    <mergeCell ref="A63:A64"/>
    <mergeCell ref="A65:A66"/>
    <mergeCell ref="A45:A46"/>
    <mergeCell ref="A47:A48"/>
    <mergeCell ref="A49:A50"/>
    <mergeCell ref="A51:I51"/>
    <mergeCell ref="A52:B52"/>
    <mergeCell ref="A53:A54"/>
    <mergeCell ref="A35:H35"/>
    <mergeCell ref="A36:B36"/>
    <mergeCell ref="A37:A38"/>
    <mergeCell ref="A39:A40"/>
    <mergeCell ref="A41:A42"/>
    <mergeCell ref="A43:A44"/>
    <mergeCell ref="A23:A24"/>
    <mergeCell ref="A25:A26"/>
    <mergeCell ref="A27:A28"/>
    <mergeCell ref="A29:A30"/>
    <mergeCell ref="A31:A32"/>
    <mergeCell ref="A33:A34"/>
    <mergeCell ref="A13:A14"/>
    <mergeCell ref="A15:A16"/>
    <mergeCell ref="A17:A18"/>
    <mergeCell ref="A19:H19"/>
    <mergeCell ref="A20:B20"/>
    <mergeCell ref="A21:A22"/>
    <mergeCell ref="A3:H3"/>
    <mergeCell ref="A4:B4"/>
    <mergeCell ref="A5:A6"/>
    <mergeCell ref="A7:A8"/>
    <mergeCell ref="A9:A10"/>
    <mergeCell ref="A11:A12"/>
    <mergeCell ref="A109:A110"/>
    <mergeCell ref="A111:A112"/>
    <mergeCell ref="A113:A114"/>
    <mergeCell ref="A99:I99"/>
    <mergeCell ref="A100:B100"/>
    <mergeCell ref="A101:A102"/>
    <mergeCell ref="A103:A104"/>
    <mergeCell ref="A105:A106"/>
    <mergeCell ref="A107:A10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J4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3.57421875" style="2" customWidth="1"/>
    <col min="2" max="5" width="13.7109375" style="2" customWidth="1"/>
    <col min="6" max="6" width="11.7109375" style="2" customWidth="1"/>
    <col min="7" max="7" width="12.8515625" style="2" customWidth="1"/>
    <col min="8" max="8" width="11.7109375" style="2" customWidth="1"/>
    <col min="9" max="11" width="9.140625" style="2" customWidth="1"/>
    <col min="12" max="12" width="10.8515625" style="2" customWidth="1"/>
    <col min="13" max="16384" width="9.140625" style="2" customWidth="1"/>
  </cols>
  <sheetData>
    <row r="1" spans="1:5" s="3" customFormat="1" ht="19.5" customHeight="1">
      <c r="A1" s="4" t="s">
        <v>150</v>
      </c>
      <c r="B1" s="4"/>
      <c r="C1" s="4"/>
      <c r="D1" s="4"/>
      <c r="E1" s="4"/>
    </row>
    <row r="2" s="3" customFormat="1" ht="6.75" customHeight="1" thickBot="1">
      <c r="B2" s="16"/>
    </row>
    <row r="3" spans="1:8" s="3" customFormat="1" ht="13.5" thickBot="1">
      <c r="A3" s="5"/>
      <c r="B3" s="245">
        <v>2006</v>
      </c>
      <c r="C3" s="245">
        <v>2007</v>
      </c>
      <c r="D3" s="245">
        <v>2008</v>
      </c>
      <c r="E3" s="245">
        <v>2009</v>
      </c>
      <c r="F3" s="245">
        <v>2010</v>
      </c>
      <c r="G3" s="245">
        <v>2011</v>
      </c>
      <c r="H3" s="245">
        <v>2012</v>
      </c>
    </row>
    <row r="4" spans="1:8" s="3" customFormat="1" ht="15.75" customHeight="1" thickBot="1">
      <c r="A4" s="80" t="s">
        <v>64</v>
      </c>
      <c r="B4" s="286" t="s">
        <v>109</v>
      </c>
      <c r="C4" s="286"/>
      <c r="D4" s="286"/>
      <c r="E4" s="286"/>
      <c r="F4" s="286"/>
      <c r="G4" s="286"/>
      <c r="H4" s="286"/>
    </row>
    <row r="5" spans="1:8" s="3" customFormat="1" ht="15.75" customHeight="1">
      <c r="A5" s="128" t="s">
        <v>110</v>
      </c>
      <c r="B5" s="171">
        <v>776</v>
      </c>
      <c r="C5" s="171">
        <v>536</v>
      </c>
      <c r="D5" s="171">
        <v>581</v>
      </c>
      <c r="E5" s="171">
        <v>728</v>
      </c>
      <c r="F5" s="244">
        <v>1203</v>
      </c>
      <c r="G5" s="244">
        <v>1175</v>
      </c>
      <c r="H5" s="3">
        <v>985</v>
      </c>
    </row>
    <row r="6" spans="1:8" s="3" customFormat="1" ht="15.75" customHeight="1">
      <c r="A6" s="127" t="s">
        <v>111</v>
      </c>
      <c r="B6" s="161">
        <v>231</v>
      </c>
      <c r="C6" s="161">
        <v>176</v>
      </c>
      <c r="D6" s="161">
        <v>325</v>
      </c>
      <c r="E6" s="161">
        <v>380</v>
      </c>
      <c r="F6" s="104">
        <v>650</v>
      </c>
      <c r="G6" s="104">
        <v>591</v>
      </c>
      <c r="H6" s="104">
        <v>674</v>
      </c>
    </row>
    <row r="7" spans="1:8" s="3" customFormat="1" ht="15.75" customHeight="1">
      <c r="A7" s="127" t="s">
        <v>112</v>
      </c>
      <c r="B7" s="161">
        <v>133</v>
      </c>
      <c r="C7" s="161">
        <v>128</v>
      </c>
      <c r="D7" s="161">
        <v>79</v>
      </c>
      <c r="E7" s="161">
        <v>189</v>
      </c>
      <c r="F7" s="104">
        <v>113</v>
      </c>
      <c r="G7" s="104">
        <v>128</v>
      </c>
      <c r="H7" s="104">
        <v>292</v>
      </c>
    </row>
    <row r="8" spans="1:8" s="3" customFormat="1" ht="15.75" customHeight="1">
      <c r="A8" s="127" t="s">
        <v>113</v>
      </c>
      <c r="B8" s="161">
        <v>97</v>
      </c>
      <c r="C8" s="161">
        <v>115</v>
      </c>
      <c r="D8" s="161">
        <v>278</v>
      </c>
      <c r="E8" s="161">
        <v>227</v>
      </c>
      <c r="F8" s="104">
        <v>336</v>
      </c>
      <c r="G8" s="104">
        <v>467</v>
      </c>
      <c r="H8" s="104">
        <v>540</v>
      </c>
    </row>
    <row r="9" spans="1:8" s="3" customFormat="1" ht="15.75" customHeight="1">
      <c r="A9" s="127" t="s">
        <v>114</v>
      </c>
      <c r="B9" s="161">
        <v>258</v>
      </c>
      <c r="C9" s="161">
        <v>518</v>
      </c>
      <c r="D9" s="161">
        <v>989</v>
      </c>
      <c r="E9" s="161">
        <v>1242</v>
      </c>
      <c r="F9" s="104">
        <v>1469</v>
      </c>
      <c r="G9" s="104">
        <v>1524</v>
      </c>
      <c r="H9" s="104">
        <v>1447</v>
      </c>
    </row>
    <row r="10" spans="1:8" s="3" customFormat="1" ht="15.75" customHeight="1">
      <c r="A10" s="127" t="s">
        <v>115</v>
      </c>
      <c r="B10" s="161">
        <v>28</v>
      </c>
      <c r="C10" s="161">
        <v>54</v>
      </c>
      <c r="D10" s="161">
        <v>25</v>
      </c>
      <c r="E10" s="161">
        <v>34</v>
      </c>
      <c r="F10" s="104">
        <v>34</v>
      </c>
      <c r="G10" s="104">
        <v>21</v>
      </c>
      <c r="H10" s="104">
        <v>19</v>
      </c>
    </row>
    <row r="11" spans="1:8" s="3" customFormat="1" ht="15.75" customHeight="1">
      <c r="A11" s="127" t="s">
        <v>116</v>
      </c>
      <c r="B11" s="161">
        <v>20</v>
      </c>
      <c r="C11" s="161">
        <v>55</v>
      </c>
      <c r="D11" s="161">
        <v>13</v>
      </c>
      <c r="E11" s="161">
        <v>149</v>
      </c>
      <c r="F11" s="104">
        <v>216</v>
      </c>
      <c r="G11" s="104">
        <v>203</v>
      </c>
      <c r="H11" s="104">
        <v>139</v>
      </c>
    </row>
    <row r="12" spans="1:8" s="3" customFormat="1" ht="15.75" customHeight="1">
      <c r="A12" s="127" t="s">
        <v>117</v>
      </c>
      <c r="B12" s="161">
        <v>89</v>
      </c>
      <c r="C12" s="161">
        <v>106</v>
      </c>
      <c r="D12" s="161">
        <v>181</v>
      </c>
      <c r="E12" s="161">
        <v>161</v>
      </c>
      <c r="F12" s="104">
        <v>199</v>
      </c>
      <c r="G12" s="104">
        <v>208</v>
      </c>
      <c r="H12" s="104">
        <v>47</v>
      </c>
    </row>
    <row r="13" spans="1:8" s="3" customFormat="1" ht="15.75" customHeight="1">
      <c r="A13" s="127" t="s">
        <v>118</v>
      </c>
      <c r="B13" s="161">
        <v>32</v>
      </c>
      <c r="C13" s="161">
        <v>64</v>
      </c>
      <c r="D13" s="161">
        <v>80</v>
      </c>
      <c r="E13" s="161">
        <v>124</v>
      </c>
      <c r="F13" s="104">
        <v>73</v>
      </c>
      <c r="G13" s="104">
        <v>62</v>
      </c>
      <c r="H13" s="104">
        <v>64</v>
      </c>
    </row>
    <row r="14" spans="1:8" s="3" customFormat="1" ht="15.75" customHeight="1">
      <c r="A14" s="127" t="s">
        <v>119</v>
      </c>
      <c r="B14" s="161">
        <v>161</v>
      </c>
      <c r="C14" s="161">
        <v>179</v>
      </c>
      <c r="D14" s="161">
        <v>255</v>
      </c>
      <c r="E14" s="161">
        <f>267+37</f>
        <v>304</v>
      </c>
      <c r="F14" s="104">
        <v>398</v>
      </c>
      <c r="G14" s="104">
        <v>442</v>
      </c>
      <c r="H14" s="104">
        <v>485</v>
      </c>
    </row>
    <row r="15" spans="1:8" s="3" customFormat="1" ht="15.75" customHeight="1">
      <c r="A15" s="127" t="s">
        <v>120</v>
      </c>
      <c r="B15" s="179"/>
      <c r="C15" s="179"/>
      <c r="D15" s="179"/>
      <c r="E15" s="179"/>
      <c r="F15" s="219">
        <v>56</v>
      </c>
      <c r="G15" s="219">
        <v>101</v>
      </c>
      <c r="H15" s="219">
        <v>125</v>
      </c>
    </row>
    <row r="16" spans="1:8" s="3" customFormat="1" ht="15.75" customHeight="1" thickBot="1">
      <c r="A16" s="125" t="s">
        <v>80</v>
      </c>
      <c r="B16" s="78">
        <v>33</v>
      </c>
      <c r="C16" s="78">
        <v>59</v>
      </c>
      <c r="D16" s="78">
        <v>53</v>
      </c>
      <c r="E16" s="78">
        <v>38</v>
      </c>
      <c r="F16" s="105">
        <v>51</v>
      </c>
      <c r="G16" s="105">
        <v>121</v>
      </c>
      <c r="H16" s="105">
        <v>74</v>
      </c>
    </row>
    <row r="17" spans="1:8" s="3" customFormat="1" ht="15.75" customHeight="1" thickBot="1">
      <c r="A17" s="175" t="s">
        <v>0</v>
      </c>
      <c r="B17" s="35">
        <f aca="true" t="shared" si="0" ref="B17:G17">SUM(B5:B16)</f>
        <v>1858</v>
      </c>
      <c r="C17" s="35">
        <f t="shared" si="0"/>
        <v>1990</v>
      </c>
      <c r="D17" s="35">
        <f t="shared" si="0"/>
        <v>2859</v>
      </c>
      <c r="E17" s="35">
        <f t="shared" si="0"/>
        <v>3576</v>
      </c>
      <c r="F17" s="35">
        <f t="shared" si="0"/>
        <v>4798</v>
      </c>
      <c r="G17" s="35">
        <f t="shared" si="0"/>
        <v>5043</v>
      </c>
      <c r="H17" s="35">
        <f>SUM(H5:H16)</f>
        <v>4891</v>
      </c>
    </row>
    <row r="18" spans="1:2" s="3" customFormat="1" ht="12.75">
      <c r="A18" s="130" t="s">
        <v>63</v>
      </c>
      <c r="B18" s="16"/>
    </row>
    <row r="19" s="3" customFormat="1" ht="12.75">
      <c r="B19" s="16"/>
    </row>
    <row r="20" spans="1:5" s="3" customFormat="1" ht="19.5" customHeight="1">
      <c r="A20" s="4" t="s">
        <v>151</v>
      </c>
      <c r="B20" s="4"/>
      <c r="C20" s="4"/>
      <c r="D20" s="4"/>
      <c r="E20" s="4"/>
    </row>
    <row r="21" s="3" customFormat="1" ht="6.75" customHeight="1" thickBot="1">
      <c r="B21" s="16"/>
    </row>
    <row r="22" spans="1:8" s="3" customFormat="1" ht="13.5" customHeight="1" thickBot="1">
      <c r="A22" s="80" t="s">
        <v>39</v>
      </c>
      <c r="B22" s="167">
        <v>2006</v>
      </c>
      <c r="C22" s="167">
        <v>2007</v>
      </c>
      <c r="D22" s="167">
        <v>2008</v>
      </c>
      <c r="E22" s="167">
        <v>2009</v>
      </c>
      <c r="F22" s="167">
        <v>2010</v>
      </c>
      <c r="G22" s="167">
        <v>2011</v>
      </c>
      <c r="H22" s="167">
        <v>2012</v>
      </c>
    </row>
    <row r="23" spans="1:8" s="3" customFormat="1" ht="15.75" customHeight="1">
      <c r="A23" s="128" t="s">
        <v>17</v>
      </c>
      <c r="B23" s="171">
        <v>59408</v>
      </c>
      <c r="C23" s="171">
        <v>10986</v>
      </c>
      <c r="D23" s="171">
        <v>0</v>
      </c>
      <c r="E23" s="171">
        <v>0</v>
      </c>
      <c r="F23" s="171">
        <v>3465</v>
      </c>
      <c r="G23" s="171">
        <v>953</v>
      </c>
      <c r="H23" s="171">
        <v>0</v>
      </c>
    </row>
    <row r="24" spans="1:8" s="3" customFormat="1" ht="15.75" customHeight="1">
      <c r="A24" s="108" t="s">
        <v>26</v>
      </c>
      <c r="B24" s="161">
        <v>7058368</v>
      </c>
      <c r="C24" s="161">
        <v>3027765</v>
      </c>
      <c r="D24" s="161">
        <v>867977</v>
      </c>
      <c r="E24" s="161">
        <v>1601680</v>
      </c>
      <c r="F24" s="220">
        <v>1629653</v>
      </c>
      <c r="G24" s="220">
        <v>2514749</v>
      </c>
      <c r="H24" s="220">
        <v>1690750</v>
      </c>
    </row>
    <row r="25" spans="1:8" s="3" customFormat="1" ht="15.75" customHeight="1">
      <c r="A25" s="127" t="s">
        <v>31</v>
      </c>
      <c r="B25" s="161">
        <v>428492</v>
      </c>
      <c r="C25" s="161">
        <v>2105</v>
      </c>
      <c r="D25" s="161">
        <v>81051</v>
      </c>
      <c r="E25" s="161">
        <v>272914</v>
      </c>
      <c r="F25" s="220">
        <v>204989</v>
      </c>
      <c r="G25" s="220">
        <v>190813</v>
      </c>
      <c r="H25" s="220">
        <v>36461</v>
      </c>
    </row>
    <row r="26" spans="1:8" s="3" customFormat="1" ht="15.75" customHeight="1">
      <c r="A26" s="108" t="s">
        <v>20</v>
      </c>
      <c r="B26" s="161">
        <v>1083733</v>
      </c>
      <c r="C26" s="161">
        <v>1608523</v>
      </c>
      <c r="D26" s="161">
        <v>1397481</v>
      </c>
      <c r="E26" s="161">
        <v>4122264</v>
      </c>
      <c r="F26" s="220">
        <v>2969931</v>
      </c>
      <c r="G26" s="220">
        <v>3864791</v>
      </c>
      <c r="H26" s="220">
        <v>1180814</v>
      </c>
    </row>
    <row r="27" spans="1:8" s="3" customFormat="1" ht="15.75" customHeight="1">
      <c r="A27" s="108" t="s">
        <v>21</v>
      </c>
      <c r="B27" s="161">
        <v>2692083</v>
      </c>
      <c r="C27" s="161">
        <v>2379302</v>
      </c>
      <c r="D27" s="161">
        <v>2111955</v>
      </c>
      <c r="E27" s="161">
        <v>4661905</v>
      </c>
      <c r="F27" s="220">
        <v>4332951</v>
      </c>
      <c r="G27" s="220">
        <v>3247459</v>
      </c>
      <c r="H27" s="220">
        <v>2461425</v>
      </c>
    </row>
    <row r="28" spans="1:8" s="3" customFormat="1" ht="15.75" customHeight="1" thickBot="1">
      <c r="A28" s="109" t="s">
        <v>40</v>
      </c>
      <c r="B28" s="179">
        <v>3876649</v>
      </c>
      <c r="C28" s="179">
        <v>1450459</v>
      </c>
      <c r="D28" s="179">
        <v>548169</v>
      </c>
      <c r="E28" s="179">
        <v>1076660</v>
      </c>
      <c r="F28" s="221">
        <v>3107500</v>
      </c>
      <c r="G28" s="221">
        <v>1440811</v>
      </c>
      <c r="H28" s="221">
        <v>2739249</v>
      </c>
    </row>
    <row r="29" spans="1:8" s="3" customFormat="1" ht="15.75" customHeight="1" thickBot="1">
      <c r="A29" s="175" t="s">
        <v>0</v>
      </c>
      <c r="B29" s="35">
        <f aca="true" t="shared" si="1" ref="B29:G29">SUM(B23:B28)</f>
        <v>15198733</v>
      </c>
      <c r="C29" s="35">
        <f t="shared" si="1"/>
        <v>8479140</v>
      </c>
      <c r="D29" s="35">
        <f t="shared" si="1"/>
        <v>5006633</v>
      </c>
      <c r="E29" s="35">
        <f t="shared" si="1"/>
        <v>11735423</v>
      </c>
      <c r="F29" s="35">
        <f t="shared" si="1"/>
        <v>12248489</v>
      </c>
      <c r="G29" s="35">
        <f t="shared" si="1"/>
        <v>11259576</v>
      </c>
      <c r="H29" s="35">
        <f>SUM(H23:H28)</f>
        <v>8108699</v>
      </c>
    </row>
    <row r="30" spans="1:2" s="3" customFormat="1" ht="12.75">
      <c r="A30" s="130" t="s">
        <v>63</v>
      </c>
      <c r="B30" s="16"/>
    </row>
    <row r="31" spans="8:10" ht="12.75">
      <c r="H31" s="3"/>
      <c r="I31" s="3"/>
      <c r="J31" s="3"/>
    </row>
    <row r="32" spans="1:10" s="3" customFormat="1" ht="19.5" customHeight="1">
      <c r="A32" s="4" t="s">
        <v>152</v>
      </c>
      <c r="B32" s="4"/>
      <c r="C32" s="4"/>
      <c r="D32" s="4"/>
      <c r="E32" s="4"/>
      <c r="H32" s="2"/>
      <c r="I32" s="2"/>
      <c r="J32" s="2"/>
    </row>
    <row r="33" s="3" customFormat="1" ht="6.75" customHeight="1" thickBot="1">
      <c r="B33" s="16"/>
    </row>
    <row r="34" spans="2:9" s="3" customFormat="1" ht="13.5" customHeight="1" thickBot="1">
      <c r="B34" s="285">
        <v>2009</v>
      </c>
      <c r="C34" s="285"/>
      <c r="D34" s="285">
        <v>2010</v>
      </c>
      <c r="E34" s="285"/>
      <c r="F34" s="285">
        <v>2011</v>
      </c>
      <c r="G34" s="285"/>
      <c r="H34" s="285">
        <v>2012</v>
      </c>
      <c r="I34" s="285"/>
    </row>
    <row r="35" spans="1:9" s="3" customFormat="1" ht="31.5" customHeight="1" thickBot="1">
      <c r="A35" s="80" t="s">
        <v>121</v>
      </c>
      <c r="B35" s="175" t="s">
        <v>98</v>
      </c>
      <c r="C35" s="80" t="s">
        <v>122</v>
      </c>
      <c r="D35" s="175" t="s">
        <v>98</v>
      </c>
      <c r="E35" s="80" t="s">
        <v>122</v>
      </c>
      <c r="F35" s="175" t="s">
        <v>98</v>
      </c>
      <c r="G35" s="80" t="s">
        <v>122</v>
      </c>
      <c r="H35" s="175" t="s">
        <v>98</v>
      </c>
      <c r="I35" s="80" t="s">
        <v>122</v>
      </c>
    </row>
    <row r="36" spans="1:9" s="3" customFormat="1" ht="15.75" customHeight="1">
      <c r="A36" s="170" t="s">
        <v>123</v>
      </c>
      <c r="B36" s="171">
        <v>3063</v>
      </c>
      <c r="C36" s="171">
        <v>17409</v>
      </c>
      <c r="D36" s="171">
        <v>3242</v>
      </c>
      <c r="E36" s="171">
        <v>20287</v>
      </c>
      <c r="F36" s="171">
        <v>2899</v>
      </c>
      <c r="G36" s="171">
        <v>17890</v>
      </c>
      <c r="H36" s="171">
        <v>2643</v>
      </c>
      <c r="I36" s="171">
        <v>15750</v>
      </c>
    </row>
    <row r="37" spans="1:9" s="3" customFormat="1" ht="15.75" customHeight="1">
      <c r="A37" s="170" t="s">
        <v>124</v>
      </c>
      <c r="B37" s="171">
        <v>393</v>
      </c>
      <c r="C37" s="171">
        <v>1418</v>
      </c>
      <c r="D37" s="171">
        <v>154</v>
      </c>
      <c r="E37" s="171">
        <v>1086</v>
      </c>
      <c r="F37" s="171">
        <v>124</v>
      </c>
      <c r="G37" s="171">
        <v>932</v>
      </c>
      <c r="H37" s="171">
        <v>173</v>
      </c>
      <c r="I37" s="171">
        <v>1100</v>
      </c>
    </row>
    <row r="38" spans="1:9" s="3" customFormat="1" ht="15.75" customHeight="1">
      <c r="A38" s="170" t="s">
        <v>125</v>
      </c>
      <c r="B38" s="171">
        <v>854</v>
      </c>
      <c r="C38" s="171">
        <v>1108</v>
      </c>
      <c r="D38" s="171">
        <v>822</v>
      </c>
      <c r="E38" s="171">
        <v>1036</v>
      </c>
      <c r="F38" s="171">
        <v>738</v>
      </c>
      <c r="G38" s="171">
        <v>863</v>
      </c>
      <c r="H38" s="171">
        <v>801</v>
      </c>
      <c r="I38" s="171">
        <v>914</v>
      </c>
    </row>
    <row r="39" spans="1:9" s="3" customFormat="1" ht="15.75" customHeight="1">
      <c r="A39" s="170" t="s">
        <v>126</v>
      </c>
      <c r="B39" s="171">
        <v>756</v>
      </c>
      <c r="C39" s="171">
        <v>999</v>
      </c>
      <c r="D39" s="171">
        <v>1101</v>
      </c>
      <c r="E39" s="171">
        <v>1426</v>
      </c>
      <c r="F39" s="171">
        <v>1151</v>
      </c>
      <c r="G39" s="171">
        <v>1583</v>
      </c>
      <c r="H39" s="171">
        <v>1196</v>
      </c>
      <c r="I39" s="171">
        <v>1464</v>
      </c>
    </row>
    <row r="40" spans="1:9" s="3" customFormat="1" ht="15.75" customHeight="1">
      <c r="A40" s="170" t="s">
        <v>127</v>
      </c>
      <c r="B40" s="171">
        <v>28</v>
      </c>
      <c r="C40" s="171">
        <v>480</v>
      </c>
      <c r="D40" s="171">
        <v>71</v>
      </c>
      <c r="E40" s="171">
        <v>2135</v>
      </c>
      <c r="F40" s="171">
        <v>109</v>
      </c>
      <c r="G40" s="171">
        <v>3310</v>
      </c>
      <c r="H40" s="171">
        <v>83</v>
      </c>
      <c r="I40" s="171">
        <v>2215</v>
      </c>
    </row>
    <row r="41" spans="1:9" s="3" customFormat="1" ht="15.75" customHeight="1">
      <c r="A41" s="170" t="s">
        <v>128</v>
      </c>
      <c r="B41" s="171">
        <v>17</v>
      </c>
      <c r="C41" s="171">
        <v>352</v>
      </c>
      <c r="D41" s="171">
        <v>17</v>
      </c>
      <c r="E41" s="171">
        <v>533</v>
      </c>
      <c r="F41" s="171">
        <v>37</v>
      </c>
      <c r="G41" s="171">
        <v>584</v>
      </c>
      <c r="H41" s="171">
        <v>29</v>
      </c>
      <c r="I41" s="171">
        <v>660</v>
      </c>
    </row>
    <row r="42" spans="1:9" s="3" customFormat="1" ht="15.75" customHeight="1" thickBot="1">
      <c r="A42" s="170" t="s">
        <v>129</v>
      </c>
      <c r="B42" s="171">
        <v>8</v>
      </c>
      <c r="C42" s="171">
        <v>8</v>
      </c>
      <c r="D42" s="171">
        <v>1</v>
      </c>
      <c r="E42" s="171">
        <v>1</v>
      </c>
      <c r="F42" s="171">
        <v>5</v>
      </c>
      <c r="G42" s="171">
        <v>6</v>
      </c>
      <c r="H42" s="171">
        <v>3</v>
      </c>
      <c r="I42" s="171">
        <v>5</v>
      </c>
    </row>
    <row r="43" spans="1:9" s="3" customFormat="1" ht="15.75" customHeight="1" thickBot="1">
      <c r="A43" s="175" t="s">
        <v>0</v>
      </c>
      <c r="B43" s="35">
        <f aca="true" t="shared" si="2" ref="B43:G43">SUM(B36:B42)</f>
        <v>5119</v>
      </c>
      <c r="C43" s="35">
        <f t="shared" si="2"/>
        <v>21774</v>
      </c>
      <c r="D43" s="35">
        <f t="shared" si="2"/>
        <v>5408</v>
      </c>
      <c r="E43" s="35">
        <f t="shared" si="2"/>
        <v>26504</v>
      </c>
      <c r="F43" s="35">
        <f t="shared" si="2"/>
        <v>5063</v>
      </c>
      <c r="G43" s="35">
        <f t="shared" si="2"/>
        <v>25168</v>
      </c>
      <c r="H43" s="35">
        <f>SUM(H36:H42)</f>
        <v>4928</v>
      </c>
      <c r="I43" s="35">
        <f>SUM(I36:I42)</f>
        <v>22108</v>
      </c>
    </row>
    <row r="44" spans="1:2" s="3" customFormat="1" ht="12.75">
      <c r="A44" s="130" t="s">
        <v>63</v>
      </c>
      <c r="B44" s="16"/>
    </row>
    <row r="45" spans="8:10" ht="12.75">
      <c r="H45" s="3"/>
      <c r="I45" s="3"/>
      <c r="J45" s="3"/>
    </row>
  </sheetData>
  <sheetProtection/>
  <mergeCells count="5">
    <mergeCell ref="B34:C34"/>
    <mergeCell ref="D34:E34"/>
    <mergeCell ref="F34:G34"/>
    <mergeCell ref="B4:H4"/>
    <mergeCell ref="H34:I3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G5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8.28125" style="1" customWidth="1"/>
    <col min="2" max="2" width="13.57421875" style="1" customWidth="1"/>
    <col min="3" max="7" width="12.7109375" style="1" customWidth="1"/>
    <col min="8" max="16384" width="9.140625" style="1" customWidth="1"/>
  </cols>
  <sheetData>
    <row r="1" spans="1:7" ht="18.75">
      <c r="A1" s="4" t="s">
        <v>153</v>
      </c>
      <c r="B1" s="4"/>
      <c r="C1" s="4"/>
      <c r="D1" s="4"/>
      <c r="E1" s="4"/>
      <c r="F1" s="4"/>
      <c r="G1" s="4"/>
    </row>
    <row r="2" spans="1:7" ht="6.75" customHeight="1" thickBot="1">
      <c r="A2" s="3"/>
      <c r="B2" s="16"/>
      <c r="C2" s="3"/>
      <c r="D2" s="3"/>
      <c r="E2" s="3"/>
      <c r="F2" s="3"/>
      <c r="G2" s="3"/>
    </row>
    <row r="3" spans="1:7" ht="13.5" thickBot="1">
      <c r="A3" s="285">
        <v>2009</v>
      </c>
      <c r="B3" s="285"/>
      <c r="C3" s="285"/>
      <c r="D3" s="285"/>
      <c r="E3" s="285"/>
      <c r="F3" s="285"/>
      <c r="G3" s="285"/>
    </row>
    <row r="4" spans="1:7" ht="27" customHeight="1" thickBot="1">
      <c r="A4" s="106" t="s">
        <v>130</v>
      </c>
      <c r="B4" s="222" t="s">
        <v>17</v>
      </c>
      <c r="C4" s="167" t="s">
        <v>26</v>
      </c>
      <c r="D4" s="167" t="s">
        <v>21</v>
      </c>
      <c r="E4" s="167" t="s">
        <v>20</v>
      </c>
      <c r="F4" s="167" t="s">
        <v>40</v>
      </c>
      <c r="G4" s="167" t="s">
        <v>0</v>
      </c>
    </row>
    <row r="5" spans="1:7" ht="19.5" customHeight="1">
      <c r="A5" s="170" t="s">
        <v>131</v>
      </c>
      <c r="B5" s="223">
        <v>664</v>
      </c>
      <c r="C5" s="223">
        <v>4017</v>
      </c>
      <c r="D5" s="223">
        <v>724</v>
      </c>
      <c r="E5" s="223">
        <v>466</v>
      </c>
      <c r="F5" s="223">
        <v>307</v>
      </c>
      <c r="G5" s="224">
        <f aca="true" t="shared" si="0" ref="G5:G13">SUM(B5:F5)</f>
        <v>6178</v>
      </c>
    </row>
    <row r="6" spans="1:7" ht="19.5" customHeight="1">
      <c r="A6" s="170" t="s">
        <v>132</v>
      </c>
      <c r="B6" s="223">
        <v>326</v>
      </c>
      <c r="C6" s="223">
        <v>4243</v>
      </c>
      <c r="D6" s="223">
        <v>658</v>
      </c>
      <c r="E6" s="223">
        <v>178</v>
      </c>
      <c r="F6" s="223">
        <v>324</v>
      </c>
      <c r="G6" s="224">
        <f t="shared" si="0"/>
        <v>5729</v>
      </c>
    </row>
    <row r="7" spans="1:7" ht="19.5" customHeight="1">
      <c r="A7" s="170" t="s">
        <v>1</v>
      </c>
      <c r="B7" s="223">
        <v>521</v>
      </c>
      <c r="C7" s="223">
        <v>2168</v>
      </c>
      <c r="D7" s="223">
        <v>467</v>
      </c>
      <c r="E7" s="223">
        <v>220</v>
      </c>
      <c r="F7" s="223">
        <v>205</v>
      </c>
      <c r="G7" s="224">
        <f t="shared" si="0"/>
        <v>3581</v>
      </c>
    </row>
    <row r="8" spans="1:7" ht="19.5" customHeight="1">
      <c r="A8" s="170" t="s">
        <v>133</v>
      </c>
      <c r="B8" s="223">
        <v>91</v>
      </c>
      <c r="C8" s="223">
        <v>2041</v>
      </c>
      <c r="D8" s="223">
        <v>340</v>
      </c>
      <c r="E8" s="223">
        <v>173</v>
      </c>
      <c r="F8" s="223">
        <v>67</v>
      </c>
      <c r="G8" s="224">
        <f t="shared" si="0"/>
        <v>2712</v>
      </c>
    </row>
    <row r="9" spans="1:7" ht="19.5" customHeight="1">
      <c r="A9" s="170" t="s">
        <v>125</v>
      </c>
      <c r="B9" s="223">
        <v>0</v>
      </c>
      <c r="C9" s="223">
        <v>524</v>
      </c>
      <c r="D9" s="223">
        <v>285</v>
      </c>
      <c r="E9" s="223">
        <v>116</v>
      </c>
      <c r="F9" s="223">
        <v>183</v>
      </c>
      <c r="G9" s="224">
        <f t="shared" si="0"/>
        <v>1108</v>
      </c>
    </row>
    <row r="10" spans="1:7" ht="19.5" customHeight="1">
      <c r="A10" s="170" t="s">
        <v>134</v>
      </c>
      <c r="B10" s="223">
        <v>0</v>
      </c>
      <c r="C10" s="223">
        <v>327</v>
      </c>
      <c r="D10" s="223">
        <v>211</v>
      </c>
      <c r="E10" s="223">
        <v>286</v>
      </c>
      <c r="F10" s="223">
        <v>175</v>
      </c>
      <c r="G10" s="224">
        <f t="shared" si="0"/>
        <v>999</v>
      </c>
    </row>
    <row r="11" spans="1:7" ht="19.5" customHeight="1">
      <c r="A11" s="170" t="s">
        <v>135</v>
      </c>
      <c r="B11" s="223">
        <v>357</v>
      </c>
      <c r="C11" s="223">
        <v>379</v>
      </c>
      <c r="D11" s="223">
        <v>61</v>
      </c>
      <c r="E11" s="223">
        <v>36</v>
      </c>
      <c r="F11" s="223">
        <v>17</v>
      </c>
      <c r="G11" s="224">
        <f t="shared" si="0"/>
        <v>850</v>
      </c>
    </row>
    <row r="12" spans="1:7" ht="19.5" customHeight="1">
      <c r="A12" s="170" t="s">
        <v>136</v>
      </c>
      <c r="B12" s="223">
        <v>320</v>
      </c>
      <c r="C12" s="223">
        <v>219</v>
      </c>
      <c r="D12" s="223">
        <v>39</v>
      </c>
      <c r="E12" s="223">
        <v>29</v>
      </c>
      <c r="F12" s="223">
        <v>2</v>
      </c>
      <c r="G12" s="224">
        <f t="shared" si="0"/>
        <v>609</v>
      </c>
    </row>
    <row r="13" spans="1:7" ht="19.5" customHeight="1" thickBot="1">
      <c r="A13" s="170" t="s">
        <v>129</v>
      </c>
      <c r="B13" s="223">
        <v>0</v>
      </c>
      <c r="C13" s="223">
        <v>6</v>
      </c>
      <c r="D13" s="223">
        <v>1</v>
      </c>
      <c r="E13" s="223">
        <v>1</v>
      </c>
      <c r="F13" s="223">
        <v>0</v>
      </c>
      <c r="G13" s="224">
        <f t="shared" si="0"/>
        <v>8</v>
      </c>
    </row>
    <row r="14" spans="1:7" ht="19.5" customHeight="1" thickBot="1">
      <c r="A14" s="126" t="s">
        <v>0</v>
      </c>
      <c r="B14" s="225">
        <f aca="true" t="shared" si="1" ref="B14:G14">SUM(B5:B13)</f>
        <v>2279</v>
      </c>
      <c r="C14" s="225">
        <f t="shared" si="1"/>
        <v>13924</v>
      </c>
      <c r="D14" s="225">
        <f t="shared" si="1"/>
        <v>2786</v>
      </c>
      <c r="E14" s="225">
        <f t="shared" si="1"/>
        <v>1505</v>
      </c>
      <c r="F14" s="225">
        <f t="shared" si="1"/>
        <v>1280</v>
      </c>
      <c r="G14" s="225">
        <f t="shared" si="1"/>
        <v>21774</v>
      </c>
    </row>
    <row r="15" spans="1:7" ht="13.5" thickBot="1">
      <c r="A15" s="285">
        <v>2010</v>
      </c>
      <c r="B15" s="285"/>
      <c r="C15" s="285"/>
      <c r="D15" s="285"/>
      <c r="E15" s="285"/>
      <c r="F15" s="285"/>
      <c r="G15" s="285"/>
    </row>
    <row r="16" spans="1:7" ht="26.25" thickBot="1">
      <c r="A16" s="106" t="s">
        <v>130</v>
      </c>
      <c r="B16" s="222" t="s">
        <v>17</v>
      </c>
      <c r="C16" s="167" t="s">
        <v>26</v>
      </c>
      <c r="D16" s="167" t="s">
        <v>21</v>
      </c>
      <c r="E16" s="167" t="s">
        <v>20</v>
      </c>
      <c r="F16" s="167" t="s">
        <v>40</v>
      </c>
      <c r="G16" s="167" t="s">
        <v>0</v>
      </c>
    </row>
    <row r="17" spans="1:7" ht="12.75">
      <c r="A17" s="170" t="s">
        <v>133</v>
      </c>
      <c r="B17" s="223">
        <v>278</v>
      </c>
      <c r="C17" s="223">
        <v>1238</v>
      </c>
      <c r="D17" s="223">
        <v>77</v>
      </c>
      <c r="E17" s="223">
        <v>73</v>
      </c>
      <c r="F17" s="223">
        <v>29</v>
      </c>
      <c r="G17" s="224">
        <f>SUM(B17:F17)</f>
        <v>1695</v>
      </c>
    </row>
    <row r="18" spans="1:7" ht="12.75">
      <c r="A18" s="170" t="s">
        <v>132</v>
      </c>
      <c r="B18" s="223">
        <v>858</v>
      </c>
      <c r="C18" s="223">
        <v>7514</v>
      </c>
      <c r="D18" s="223">
        <v>876</v>
      </c>
      <c r="E18" s="223">
        <v>485</v>
      </c>
      <c r="F18" s="223">
        <v>320</v>
      </c>
      <c r="G18" s="224">
        <f>SUM(B18:F18)</f>
        <v>10053</v>
      </c>
    </row>
    <row r="19" spans="1:7" ht="12.75">
      <c r="A19" s="170" t="s">
        <v>131</v>
      </c>
      <c r="B19" s="223">
        <v>765</v>
      </c>
      <c r="C19" s="223">
        <v>5185</v>
      </c>
      <c r="D19" s="223">
        <v>604</v>
      </c>
      <c r="E19" s="223">
        <v>432</v>
      </c>
      <c r="F19" s="223">
        <v>215</v>
      </c>
      <c r="G19" s="224">
        <f aca="true" t="shared" si="2" ref="G19:G24">SUM(B19:F19)</f>
        <v>7201</v>
      </c>
    </row>
    <row r="20" spans="1:7" ht="12.75">
      <c r="A20" s="170" t="s">
        <v>1</v>
      </c>
      <c r="B20" s="223">
        <v>587</v>
      </c>
      <c r="C20" s="223">
        <v>2835</v>
      </c>
      <c r="D20" s="223">
        <v>333</v>
      </c>
      <c r="E20" s="223">
        <v>188</v>
      </c>
      <c r="F20" s="223">
        <v>103</v>
      </c>
      <c r="G20" s="224">
        <f t="shared" si="2"/>
        <v>4046</v>
      </c>
    </row>
    <row r="21" spans="1:7" ht="12.75">
      <c r="A21" s="170" t="s">
        <v>135</v>
      </c>
      <c r="B21" s="223">
        <v>95</v>
      </c>
      <c r="C21" s="223">
        <v>332</v>
      </c>
      <c r="D21" s="223">
        <v>36</v>
      </c>
      <c r="E21" s="223">
        <v>19</v>
      </c>
      <c r="F21" s="223">
        <v>21</v>
      </c>
      <c r="G21" s="224">
        <f t="shared" si="2"/>
        <v>503</v>
      </c>
    </row>
    <row r="22" spans="1:7" ht="12.75">
      <c r="A22" s="170" t="s">
        <v>136</v>
      </c>
      <c r="B22" s="223">
        <v>336</v>
      </c>
      <c r="C22" s="223">
        <v>154</v>
      </c>
      <c r="D22" s="223">
        <v>13</v>
      </c>
      <c r="E22" s="223">
        <v>23</v>
      </c>
      <c r="F22" s="223">
        <v>17</v>
      </c>
      <c r="G22" s="224">
        <f t="shared" si="2"/>
        <v>543</v>
      </c>
    </row>
    <row r="23" spans="1:7" ht="12.75">
      <c r="A23" s="170" t="s">
        <v>134</v>
      </c>
      <c r="B23" s="223">
        <v>0</v>
      </c>
      <c r="C23" s="223">
        <v>486</v>
      </c>
      <c r="D23" s="223">
        <v>449</v>
      </c>
      <c r="E23" s="223">
        <v>229</v>
      </c>
      <c r="F23" s="223">
        <v>262</v>
      </c>
      <c r="G23" s="224">
        <f t="shared" si="2"/>
        <v>1426</v>
      </c>
    </row>
    <row r="24" spans="1:7" ht="12.75">
      <c r="A24" s="170" t="s">
        <v>125</v>
      </c>
      <c r="B24" s="223">
        <v>0</v>
      </c>
      <c r="C24" s="223">
        <v>564</v>
      </c>
      <c r="D24" s="223">
        <v>246</v>
      </c>
      <c r="E24" s="223">
        <v>109</v>
      </c>
      <c r="F24" s="223">
        <v>117</v>
      </c>
      <c r="G24" s="224">
        <f t="shared" si="2"/>
        <v>1036</v>
      </c>
    </row>
    <row r="25" spans="1:7" ht="13.5" thickBot="1">
      <c r="A25" s="170" t="s">
        <v>129</v>
      </c>
      <c r="B25" s="223">
        <v>0</v>
      </c>
      <c r="C25" s="223">
        <v>1</v>
      </c>
      <c r="D25" s="223">
        <v>0</v>
      </c>
      <c r="E25" s="223">
        <v>0</v>
      </c>
      <c r="F25" s="223">
        <v>0</v>
      </c>
      <c r="G25" s="224">
        <f>SUM(B25:F25)</f>
        <v>1</v>
      </c>
    </row>
    <row r="26" spans="1:7" ht="13.5" thickBot="1">
      <c r="A26" s="126" t="s">
        <v>0</v>
      </c>
      <c r="B26" s="225">
        <f aca="true" t="shared" si="3" ref="B26:G26">SUM(B17:B25)</f>
        <v>2919</v>
      </c>
      <c r="C26" s="225">
        <f t="shared" si="3"/>
        <v>18309</v>
      </c>
      <c r="D26" s="225">
        <f t="shared" si="3"/>
        <v>2634</v>
      </c>
      <c r="E26" s="225">
        <f t="shared" si="3"/>
        <v>1558</v>
      </c>
      <c r="F26" s="225">
        <f t="shared" si="3"/>
        <v>1084</v>
      </c>
      <c r="G26" s="225">
        <f t="shared" si="3"/>
        <v>26504</v>
      </c>
    </row>
    <row r="27" spans="1:7" ht="13.5" thickBot="1">
      <c r="A27" s="285">
        <v>2011</v>
      </c>
      <c r="B27" s="285"/>
      <c r="C27" s="285"/>
      <c r="D27" s="285"/>
      <c r="E27" s="285"/>
      <c r="F27" s="285"/>
      <c r="G27" s="285"/>
    </row>
    <row r="28" spans="1:7" ht="26.25" thickBot="1">
      <c r="A28" s="106" t="s">
        <v>130</v>
      </c>
      <c r="B28" s="222" t="s">
        <v>17</v>
      </c>
      <c r="C28" s="167" t="s">
        <v>26</v>
      </c>
      <c r="D28" s="167" t="s">
        <v>21</v>
      </c>
      <c r="E28" s="167" t="s">
        <v>20</v>
      </c>
      <c r="F28" s="167" t="s">
        <v>40</v>
      </c>
      <c r="G28" s="167" t="s">
        <v>0</v>
      </c>
    </row>
    <row r="29" spans="1:7" ht="12.75">
      <c r="A29" s="170" t="s">
        <v>133</v>
      </c>
      <c r="B29" s="223">
        <v>187</v>
      </c>
      <c r="C29" s="223">
        <v>1304</v>
      </c>
      <c r="D29" s="223">
        <v>204</v>
      </c>
      <c r="E29" s="223">
        <v>131</v>
      </c>
      <c r="F29" s="223">
        <v>27</v>
      </c>
      <c r="G29" s="224">
        <f>SUM(B29:F29)</f>
        <v>1853</v>
      </c>
    </row>
    <row r="30" spans="1:7" ht="12.75">
      <c r="A30" s="170" t="s">
        <v>132</v>
      </c>
      <c r="B30" s="223">
        <v>875</v>
      </c>
      <c r="C30" s="223">
        <v>8710</v>
      </c>
      <c r="D30" s="223">
        <v>940</v>
      </c>
      <c r="E30" s="223">
        <v>649</v>
      </c>
      <c r="F30" s="223">
        <v>399</v>
      </c>
      <c r="G30" s="224">
        <f>SUM(B30:F30)</f>
        <v>11573</v>
      </c>
    </row>
    <row r="31" spans="1:7" ht="12.75">
      <c r="A31" s="170" t="s">
        <v>131</v>
      </c>
      <c r="B31" s="223">
        <v>499</v>
      </c>
      <c r="C31" s="223">
        <v>4043</v>
      </c>
      <c r="D31" s="223">
        <v>679</v>
      </c>
      <c r="E31" s="223">
        <v>341</v>
      </c>
      <c r="F31" s="223">
        <v>173</v>
      </c>
      <c r="G31" s="224">
        <f aca="true" t="shared" si="4" ref="G31:G36">SUM(B31:F31)</f>
        <v>5735</v>
      </c>
    </row>
    <row r="32" spans="1:7" ht="12.75">
      <c r="A32" s="170" t="s">
        <v>1</v>
      </c>
      <c r="B32" s="223">
        <v>343</v>
      </c>
      <c r="C32" s="223">
        <v>1748</v>
      </c>
      <c r="D32" s="223">
        <v>317</v>
      </c>
      <c r="E32" s="223">
        <v>287</v>
      </c>
      <c r="F32" s="223">
        <v>76</v>
      </c>
      <c r="G32" s="224">
        <f t="shared" si="4"/>
        <v>2771</v>
      </c>
    </row>
    <row r="33" spans="1:7" ht="12.75">
      <c r="A33" s="170" t="s">
        <v>135</v>
      </c>
      <c r="B33" s="223">
        <v>88</v>
      </c>
      <c r="C33" s="223">
        <v>319</v>
      </c>
      <c r="D33" s="223">
        <v>43</v>
      </c>
      <c r="E33" s="223">
        <v>41</v>
      </c>
      <c r="F33" s="223">
        <v>14</v>
      </c>
      <c r="G33" s="224">
        <f t="shared" si="4"/>
        <v>505</v>
      </c>
    </row>
    <row r="34" spans="1:7" ht="12.75">
      <c r="A34" s="170" t="s">
        <v>136</v>
      </c>
      <c r="B34" s="223">
        <v>43</v>
      </c>
      <c r="C34" s="223">
        <v>221</v>
      </c>
      <c r="D34" s="223">
        <v>9</v>
      </c>
      <c r="E34" s="223">
        <v>5</v>
      </c>
      <c r="F34" s="223">
        <v>1</v>
      </c>
      <c r="G34" s="224">
        <f t="shared" si="4"/>
        <v>279</v>
      </c>
    </row>
    <row r="35" spans="1:7" ht="12.75">
      <c r="A35" s="170" t="s">
        <v>134</v>
      </c>
      <c r="B35" s="223">
        <v>0</v>
      </c>
      <c r="C35" s="223">
        <v>612</v>
      </c>
      <c r="D35" s="223">
        <v>425</v>
      </c>
      <c r="E35" s="223">
        <v>268</v>
      </c>
      <c r="F35" s="223">
        <v>278</v>
      </c>
      <c r="G35" s="224">
        <f t="shared" si="4"/>
        <v>1583</v>
      </c>
    </row>
    <row r="36" spans="1:7" ht="12.75">
      <c r="A36" s="170" t="s">
        <v>125</v>
      </c>
      <c r="B36" s="223">
        <v>1</v>
      </c>
      <c r="C36" s="223">
        <v>455</v>
      </c>
      <c r="D36" s="223">
        <v>184</v>
      </c>
      <c r="E36" s="223">
        <v>112</v>
      </c>
      <c r="F36" s="223">
        <v>111</v>
      </c>
      <c r="G36" s="224">
        <f t="shared" si="4"/>
        <v>863</v>
      </c>
    </row>
    <row r="37" spans="1:7" ht="13.5" thickBot="1">
      <c r="A37" s="170" t="s">
        <v>129</v>
      </c>
      <c r="B37" s="223">
        <v>0</v>
      </c>
      <c r="C37" s="223">
        <v>6</v>
      </c>
      <c r="D37" s="223">
        <v>0</v>
      </c>
      <c r="E37" s="223">
        <v>0</v>
      </c>
      <c r="F37" s="223">
        <v>0</v>
      </c>
      <c r="G37" s="224">
        <f>SUM(B37:F37)</f>
        <v>6</v>
      </c>
    </row>
    <row r="38" spans="1:7" ht="13.5" thickBot="1">
      <c r="A38" s="126" t="s">
        <v>0</v>
      </c>
      <c r="B38" s="225">
        <f aca="true" t="shared" si="5" ref="B38:G38">SUM(B29:B37)</f>
        <v>2036</v>
      </c>
      <c r="C38" s="225">
        <f t="shared" si="5"/>
        <v>17418</v>
      </c>
      <c r="D38" s="225">
        <f t="shared" si="5"/>
        <v>2801</v>
      </c>
      <c r="E38" s="225">
        <f t="shared" si="5"/>
        <v>1834</v>
      </c>
      <c r="F38" s="225">
        <f t="shared" si="5"/>
        <v>1079</v>
      </c>
      <c r="G38" s="225">
        <f t="shared" si="5"/>
        <v>25168</v>
      </c>
    </row>
    <row r="39" spans="1:7" ht="13.5" thickBot="1">
      <c r="A39" s="285">
        <v>2012</v>
      </c>
      <c r="B39" s="285"/>
      <c r="C39" s="285"/>
      <c r="D39" s="285"/>
      <c r="E39" s="285"/>
      <c r="F39" s="285"/>
      <c r="G39" s="285"/>
    </row>
    <row r="40" spans="1:7" ht="26.25" thickBot="1">
      <c r="A40" s="106" t="s">
        <v>130</v>
      </c>
      <c r="B40" s="222" t="s">
        <v>17</v>
      </c>
      <c r="C40" s="167" t="s">
        <v>26</v>
      </c>
      <c r="D40" s="167" t="s">
        <v>21</v>
      </c>
      <c r="E40" s="167" t="s">
        <v>20</v>
      </c>
      <c r="F40" s="167" t="s">
        <v>40</v>
      </c>
      <c r="G40" s="167" t="s">
        <v>0</v>
      </c>
    </row>
    <row r="41" spans="1:7" ht="12.75">
      <c r="A41" s="170" t="s">
        <v>133</v>
      </c>
      <c r="B41" s="223">
        <v>98</v>
      </c>
      <c r="C41" s="223">
        <v>1089</v>
      </c>
      <c r="D41" s="223">
        <v>121</v>
      </c>
      <c r="E41" s="223">
        <v>168</v>
      </c>
      <c r="F41" s="223">
        <v>28</v>
      </c>
      <c r="G41" s="224">
        <f>SUM(B41:F41)</f>
        <v>1504</v>
      </c>
    </row>
    <row r="42" spans="1:7" ht="12.75">
      <c r="A42" s="170" t="s">
        <v>132</v>
      </c>
      <c r="B42" s="223">
        <v>827</v>
      </c>
      <c r="C42" s="223">
        <v>6869</v>
      </c>
      <c r="D42" s="223">
        <v>1158</v>
      </c>
      <c r="E42" s="223">
        <v>811</v>
      </c>
      <c r="F42" s="223">
        <v>273</v>
      </c>
      <c r="G42" s="224">
        <f>SUM(B42:F42)</f>
        <v>9938</v>
      </c>
    </row>
    <row r="43" spans="1:7" ht="12.75">
      <c r="A43" s="170" t="s">
        <v>131</v>
      </c>
      <c r="B43" s="223">
        <v>617</v>
      </c>
      <c r="C43" s="223">
        <v>3756</v>
      </c>
      <c r="D43" s="223">
        <v>447</v>
      </c>
      <c r="E43" s="223">
        <v>437</v>
      </c>
      <c r="F43" s="223">
        <v>144</v>
      </c>
      <c r="G43" s="224">
        <f aca="true" t="shared" si="6" ref="G43:G48">SUM(B43:F43)</f>
        <v>5401</v>
      </c>
    </row>
    <row r="44" spans="1:7" ht="12.75">
      <c r="A44" s="170" t="s">
        <v>1</v>
      </c>
      <c r="B44" s="223">
        <v>149</v>
      </c>
      <c r="C44" s="223">
        <v>1715</v>
      </c>
      <c r="D44" s="223">
        <v>239</v>
      </c>
      <c r="E44" s="223">
        <v>218</v>
      </c>
      <c r="F44" s="223">
        <v>65</v>
      </c>
      <c r="G44" s="224">
        <f t="shared" si="6"/>
        <v>2386</v>
      </c>
    </row>
    <row r="45" spans="1:7" ht="12.75">
      <c r="A45" s="170" t="s">
        <v>135</v>
      </c>
      <c r="B45" s="223">
        <v>47</v>
      </c>
      <c r="C45" s="223">
        <v>242</v>
      </c>
      <c r="D45" s="223">
        <v>17</v>
      </c>
      <c r="E45" s="223">
        <v>33</v>
      </c>
      <c r="F45" s="223">
        <v>6</v>
      </c>
      <c r="G45" s="224">
        <f t="shared" si="6"/>
        <v>345</v>
      </c>
    </row>
    <row r="46" spans="1:7" ht="12.75">
      <c r="A46" s="170" t="s">
        <v>136</v>
      </c>
      <c r="B46" s="223">
        <v>24</v>
      </c>
      <c r="C46" s="223">
        <v>112</v>
      </c>
      <c r="D46" s="223">
        <v>5</v>
      </c>
      <c r="E46" s="223">
        <v>9</v>
      </c>
      <c r="F46" s="223">
        <v>1</v>
      </c>
      <c r="G46" s="224">
        <f t="shared" si="6"/>
        <v>151</v>
      </c>
    </row>
    <row r="47" spans="1:7" ht="12.75">
      <c r="A47" s="170" t="s">
        <v>134</v>
      </c>
      <c r="B47" s="223">
        <v>0</v>
      </c>
      <c r="C47" s="223">
        <v>458</v>
      </c>
      <c r="D47" s="223">
        <v>475</v>
      </c>
      <c r="E47" s="223">
        <v>212</v>
      </c>
      <c r="F47" s="223">
        <v>319</v>
      </c>
      <c r="G47" s="224">
        <f t="shared" si="6"/>
        <v>1464</v>
      </c>
    </row>
    <row r="48" spans="1:7" ht="12.75">
      <c r="A48" s="170" t="s">
        <v>125</v>
      </c>
      <c r="B48" s="223">
        <v>0</v>
      </c>
      <c r="C48" s="223">
        <v>421</v>
      </c>
      <c r="D48" s="223">
        <v>255</v>
      </c>
      <c r="E48" s="223">
        <v>101</v>
      </c>
      <c r="F48" s="223">
        <v>137</v>
      </c>
      <c r="G48" s="224">
        <f t="shared" si="6"/>
        <v>914</v>
      </c>
    </row>
    <row r="49" spans="1:7" ht="13.5" thickBot="1">
      <c r="A49" s="170" t="s">
        <v>129</v>
      </c>
      <c r="B49" s="223">
        <v>0</v>
      </c>
      <c r="C49" s="223">
        <v>5</v>
      </c>
      <c r="D49" s="223">
        <v>0</v>
      </c>
      <c r="E49" s="223">
        <v>0</v>
      </c>
      <c r="F49" s="223">
        <v>0</v>
      </c>
      <c r="G49" s="224">
        <f>SUM(B49:F49)</f>
        <v>5</v>
      </c>
    </row>
    <row r="50" spans="1:7" ht="13.5" thickBot="1">
      <c r="A50" s="126" t="s">
        <v>0</v>
      </c>
      <c r="B50" s="225">
        <f aca="true" t="shared" si="7" ref="B50:G50">SUM(B41:B49)</f>
        <v>1762</v>
      </c>
      <c r="C50" s="225">
        <f t="shared" si="7"/>
        <v>14667</v>
      </c>
      <c r="D50" s="225">
        <f t="shared" si="7"/>
        <v>2717</v>
      </c>
      <c r="E50" s="225">
        <f t="shared" si="7"/>
        <v>1989</v>
      </c>
      <c r="F50" s="225">
        <f t="shared" si="7"/>
        <v>973</v>
      </c>
      <c r="G50" s="225">
        <f t="shared" si="7"/>
        <v>22108</v>
      </c>
    </row>
    <row r="51" spans="1:2" s="3" customFormat="1" ht="12.75">
      <c r="A51" s="130" t="s">
        <v>63</v>
      </c>
      <c r="B51" s="16"/>
    </row>
  </sheetData>
  <sheetProtection/>
  <mergeCells count="4">
    <mergeCell ref="A3:G3"/>
    <mergeCell ref="A15:G15"/>
    <mergeCell ref="A27:G27"/>
    <mergeCell ref="A39:G39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H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28125" style="226" customWidth="1"/>
    <col min="2" max="4" width="16.8515625" style="226" customWidth="1"/>
    <col min="5" max="5" width="12.28125" style="226" customWidth="1"/>
    <col min="6" max="6" width="9.28125" style="226" bestFit="1" customWidth="1"/>
    <col min="7" max="7" width="9.8515625" style="226" bestFit="1" customWidth="1"/>
    <col min="8" max="16384" width="9.140625" style="226" customWidth="1"/>
  </cols>
  <sheetData>
    <row r="1" spans="1:8" ht="19.5" customHeight="1">
      <c r="A1" s="4" t="s">
        <v>154</v>
      </c>
      <c r="B1" s="4"/>
      <c r="C1" s="4"/>
      <c r="D1" s="4"/>
      <c r="E1" s="4"/>
      <c r="F1" s="4"/>
      <c r="G1" s="4"/>
      <c r="H1" s="2"/>
    </row>
    <row r="2" spans="1:8" ht="6.75" customHeight="1" thickBot="1">
      <c r="A2" s="3"/>
      <c r="B2" s="16"/>
      <c r="C2" s="3"/>
      <c r="D2" s="3"/>
      <c r="E2" s="3"/>
      <c r="F2" s="3"/>
      <c r="G2" s="3"/>
      <c r="H2" s="2"/>
    </row>
    <row r="3" spans="1:8" ht="13.5" thickBot="1">
      <c r="A3" s="106" t="s">
        <v>138</v>
      </c>
      <c r="B3" s="222" t="s">
        <v>139</v>
      </c>
      <c r="C3" s="167">
        <v>2008</v>
      </c>
      <c r="D3" s="167">
        <v>2009</v>
      </c>
      <c r="E3" s="167">
        <v>2010</v>
      </c>
      <c r="F3" s="167">
        <v>2011</v>
      </c>
      <c r="G3" s="167">
        <v>2012</v>
      </c>
      <c r="H3" s="2"/>
    </row>
    <row r="4" spans="1:8" ht="12.75">
      <c r="A4" s="110" t="s">
        <v>140</v>
      </c>
      <c r="B4" s="132">
        <v>2931</v>
      </c>
      <c r="C4" s="132">
        <v>3690</v>
      </c>
      <c r="D4" s="132">
        <v>5376</v>
      </c>
      <c r="E4" s="132">
        <v>6120</v>
      </c>
      <c r="F4" s="132">
        <v>6425</v>
      </c>
      <c r="G4" s="132">
        <v>6310</v>
      </c>
      <c r="H4" s="2"/>
    </row>
    <row r="5" spans="1:8" ht="13.5" thickBot="1">
      <c r="A5" s="109" t="s">
        <v>141</v>
      </c>
      <c r="B5" s="229"/>
      <c r="C5" s="229">
        <v>5280822</v>
      </c>
      <c r="D5" s="229">
        <v>7647839</v>
      </c>
      <c r="E5" s="229">
        <v>9710490</v>
      </c>
      <c r="F5" s="229">
        <v>9392958</v>
      </c>
      <c r="G5" s="229">
        <v>9194363</v>
      </c>
      <c r="H5" s="2"/>
    </row>
    <row r="6" spans="1:2" s="3" customFormat="1" ht="12.75">
      <c r="A6" s="130" t="s">
        <v>63</v>
      </c>
      <c r="B6" s="16"/>
    </row>
    <row r="7" spans="1:8" ht="12.75">
      <c r="A7" s="3"/>
      <c r="B7" s="16"/>
      <c r="C7" s="228"/>
      <c r="D7" s="228"/>
      <c r="E7" s="228"/>
      <c r="F7" s="228"/>
      <c r="G7" s="228"/>
      <c r="H7" s="228"/>
    </row>
    <row r="8" spans="1:8" ht="19.5" customHeight="1">
      <c r="A8" s="4" t="s">
        <v>155</v>
      </c>
      <c r="B8" s="4"/>
      <c r="C8" s="4"/>
      <c r="D8" s="4"/>
      <c r="E8" s="4"/>
      <c r="F8" s="4"/>
      <c r="G8" s="4"/>
      <c r="H8" s="2"/>
    </row>
    <row r="9" spans="1:8" ht="6.75" customHeight="1" thickBot="1">
      <c r="A9" s="3"/>
      <c r="B9" s="16"/>
      <c r="C9" s="3"/>
      <c r="D9" s="3"/>
      <c r="E9" s="3"/>
      <c r="F9" s="3"/>
      <c r="G9" s="3"/>
      <c r="H9" s="2"/>
    </row>
    <row r="10" spans="1:6" ht="13.5" thickBot="1">
      <c r="A10" s="106" t="s">
        <v>138</v>
      </c>
      <c r="B10" s="222" t="s">
        <v>165</v>
      </c>
      <c r="C10" s="167">
        <v>2010</v>
      </c>
      <c r="D10" s="167">
        <v>2011</v>
      </c>
      <c r="E10" s="167">
        <v>2012</v>
      </c>
      <c r="F10" s="158" t="s">
        <v>0</v>
      </c>
    </row>
    <row r="11" spans="1:6" ht="12.75">
      <c r="A11" s="110" t="s">
        <v>142</v>
      </c>
      <c r="B11" s="132">
        <v>112</v>
      </c>
      <c r="C11" s="132">
        <v>160</v>
      </c>
      <c r="D11" s="132">
        <v>474</v>
      </c>
      <c r="E11" s="132">
        <v>2585</v>
      </c>
      <c r="F11" s="133">
        <v>6310</v>
      </c>
    </row>
    <row r="12" spans="1:6" ht="13.5" thickBot="1">
      <c r="A12" s="109" t="s">
        <v>137</v>
      </c>
      <c r="B12" s="87">
        <v>175264</v>
      </c>
      <c r="C12" s="87">
        <v>333090</v>
      </c>
      <c r="D12" s="87">
        <v>981266</v>
      </c>
      <c r="E12" s="87">
        <v>3642897</v>
      </c>
      <c r="F12" s="230">
        <f>SUM(B12:E12)</f>
        <v>5132517</v>
      </c>
    </row>
    <row r="13" spans="1:2" s="3" customFormat="1" ht="12.75">
      <c r="A13" s="130" t="s">
        <v>63</v>
      </c>
      <c r="B13" s="16"/>
    </row>
    <row r="14" spans="1:8" ht="12.75">
      <c r="A14" s="3"/>
      <c r="B14" s="16"/>
      <c r="C14" s="228"/>
      <c r="D14" s="228"/>
      <c r="E14" s="228"/>
      <c r="F14" s="228"/>
      <c r="G14" s="228"/>
      <c r="H14" s="228"/>
    </row>
    <row r="15" spans="1:8" ht="19.5" customHeight="1">
      <c r="A15" s="4" t="s">
        <v>156</v>
      </c>
      <c r="B15" s="4"/>
      <c r="C15" s="4"/>
      <c r="D15" s="4"/>
      <c r="E15" s="4"/>
      <c r="F15" s="4"/>
      <c r="G15" s="4"/>
      <c r="H15" s="2"/>
    </row>
    <row r="16" spans="1:8" ht="6.75" customHeight="1" thickBot="1">
      <c r="A16" s="3"/>
      <c r="B16" s="16"/>
      <c r="C16" s="3"/>
      <c r="D16" s="3"/>
      <c r="E16" s="3"/>
      <c r="F16" s="3"/>
      <c r="G16" s="3"/>
      <c r="H16" s="2"/>
    </row>
    <row r="17" spans="1:8" ht="26.25" thickBot="1">
      <c r="A17" s="238">
        <v>2012</v>
      </c>
      <c r="B17" s="222" t="s">
        <v>17</v>
      </c>
      <c r="C17" s="167" t="s">
        <v>26</v>
      </c>
      <c r="D17" s="167" t="s">
        <v>21</v>
      </c>
      <c r="E17" s="167" t="s">
        <v>40</v>
      </c>
      <c r="F17" s="167" t="s">
        <v>20</v>
      </c>
      <c r="G17" s="167" t="s">
        <v>18</v>
      </c>
      <c r="H17" s="167" t="s">
        <v>0</v>
      </c>
    </row>
    <row r="18" spans="1:8" ht="12.75">
      <c r="A18" s="110" t="s">
        <v>142</v>
      </c>
      <c r="B18" s="231">
        <v>154</v>
      </c>
      <c r="C18" s="132">
        <v>3361</v>
      </c>
      <c r="D18" s="146">
        <v>960</v>
      </c>
      <c r="E18" s="146">
        <v>811</v>
      </c>
      <c r="F18" s="146">
        <v>961</v>
      </c>
      <c r="G18" s="146">
        <v>63</v>
      </c>
      <c r="H18" s="133">
        <f>SUM(B18:G18)</f>
        <v>6310</v>
      </c>
    </row>
    <row r="19" spans="1:8" ht="13.5" thickBot="1">
      <c r="A19" s="109" t="s">
        <v>137</v>
      </c>
      <c r="B19" s="246">
        <v>878638</v>
      </c>
      <c r="C19" s="43">
        <v>5654036</v>
      </c>
      <c r="D19" s="43">
        <v>1033963</v>
      </c>
      <c r="E19" s="43">
        <v>602969</v>
      </c>
      <c r="F19" s="43">
        <v>932999</v>
      </c>
      <c r="G19" s="43">
        <v>91758</v>
      </c>
      <c r="H19" s="138">
        <f>SUM(B19:G19)</f>
        <v>9194363</v>
      </c>
    </row>
    <row r="20" spans="1:2" s="3" customFormat="1" ht="12.75">
      <c r="A20" s="130" t="s">
        <v>63</v>
      </c>
      <c r="B20" s="16"/>
    </row>
    <row r="22" spans="1:8" ht="19.5" customHeight="1">
      <c r="A22" s="4" t="s">
        <v>157</v>
      </c>
      <c r="B22" s="4"/>
      <c r="C22" s="4"/>
      <c r="D22" s="4"/>
      <c r="E22" s="4"/>
      <c r="F22" s="4"/>
      <c r="G22" s="4"/>
      <c r="H22" s="2"/>
    </row>
    <row r="23" spans="1:8" ht="6.75" customHeight="1" thickBot="1">
      <c r="A23" s="3"/>
      <c r="B23" s="16"/>
      <c r="C23" s="3"/>
      <c r="D23" s="3"/>
      <c r="E23" s="3"/>
      <c r="F23" s="3"/>
      <c r="G23" s="3"/>
      <c r="H23" s="2"/>
    </row>
    <row r="24" spans="1:4" ht="13.5" thickBot="1">
      <c r="A24" s="106" t="s">
        <v>137</v>
      </c>
      <c r="B24" s="222" t="s">
        <v>166</v>
      </c>
      <c r="C24" s="167">
        <v>2011</v>
      </c>
      <c r="D24" s="167">
        <v>2012</v>
      </c>
    </row>
    <row r="25" spans="1:4" ht="12.75">
      <c r="A25" s="110" t="s">
        <v>23</v>
      </c>
      <c r="B25" s="247">
        <v>15175926</v>
      </c>
      <c r="C25" s="132">
        <v>13884012</v>
      </c>
      <c r="D25" s="132">
        <v>12367081</v>
      </c>
    </row>
    <row r="26" spans="1:4" ht="13.5" thickBot="1">
      <c r="A26" s="232" t="s">
        <v>25</v>
      </c>
      <c r="B26" s="233">
        <v>2437597</v>
      </c>
      <c r="C26" s="141">
        <v>2574961</v>
      </c>
      <c r="D26" s="141">
        <v>2319181</v>
      </c>
    </row>
    <row r="27" spans="1:4" ht="13.5" thickBot="1">
      <c r="A27" s="227" t="s">
        <v>0</v>
      </c>
      <c r="B27" s="234">
        <f>SUM(B25:B26)</f>
        <v>17613523</v>
      </c>
      <c r="C27" s="234">
        <f>SUM(C25:C26)</f>
        <v>16458973</v>
      </c>
      <c r="D27" s="234">
        <f>SUM(D25:D26)</f>
        <v>14686262</v>
      </c>
    </row>
    <row r="28" spans="1:2" s="3" customFormat="1" ht="12.75">
      <c r="A28" s="130" t="s">
        <v>63</v>
      </c>
      <c r="B28" s="16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S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6" customWidth="1"/>
    <col min="2" max="2" width="5.140625" style="6" customWidth="1"/>
    <col min="3" max="3" width="14.421875" style="17" customWidth="1"/>
    <col min="4" max="4" width="6.8515625" style="3" bestFit="1" customWidth="1"/>
    <col min="5" max="15" width="7.8515625" style="3" customWidth="1"/>
    <col min="16" max="16" width="8.7109375" style="3" bestFit="1" customWidth="1"/>
    <col min="17" max="16384" width="9.140625" style="3" customWidth="1"/>
  </cols>
  <sheetData>
    <row r="1" spans="1:19" ht="19.5" customHeight="1">
      <c r="A1" s="4" t="s">
        <v>167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R1"/>
      <c r="S1"/>
    </row>
    <row r="2" spans="1:3" s="7" customFormat="1" ht="9.75" customHeight="1" thickBot="1">
      <c r="A2" s="9"/>
      <c r="B2" s="15"/>
      <c r="C2" s="20"/>
    </row>
    <row r="3" spans="4:16" ht="15" customHeight="1" thickBot="1">
      <c r="D3" s="253">
        <v>2012</v>
      </c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</row>
    <row r="4" spans="4:16" ht="13.5" thickBot="1">
      <c r="D4" s="111" t="s">
        <v>2</v>
      </c>
      <c r="E4" s="111" t="s">
        <v>3</v>
      </c>
      <c r="F4" s="111" t="s">
        <v>4</v>
      </c>
      <c r="G4" s="111" t="s">
        <v>5</v>
      </c>
      <c r="H4" s="111" t="s">
        <v>6</v>
      </c>
      <c r="I4" s="111" t="s">
        <v>7</v>
      </c>
      <c r="J4" s="111" t="s">
        <v>8</v>
      </c>
      <c r="K4" s="111" t="s">
        <v>9</v>
      </c>
      <c r="L4" s="111" t="s">
        <v>10</v>
      </c>
      <c r="M4" s="111" t="s">
        <v>11</v>
      </c>
      <c r="N4" s="111" t="s">
        <v>12</v>
      </c>
      <c r="O4" s="111" t="s">
        <v>13</v>
      </c>
      <c r="P4" s="111" t="s">
        <v>159</v>
      </c>
    </row>
    <row r="5" spans="1:16" ht="13.5" thickBot="1">
      <c r="A5" s="254" t="s">
        <v>177</v>
      </c>
      <c r="B5" s="257" t="s">
        <v>175</v>
      </c>
      <c r="C5" s="29" t="s">
        <v>169</v>
      </c>
      <c r="D5" s="36">
        <f aca="true" t="shared" si="0" ref="D5:O5">SUM(D6:D14)</f>
        <v>6087</v>
      </c>
      <c r="E5" s="36">
        <f t="shared" si="0"/>
        <v>5898</v>
      </c>
      <c r="F5" s="36">
        <f t="shared" si="0"/>
        <v>7004</v>
      </c>
      <c r="G5" s="36">
        <f t="shared" si="0"/>
        <v>6033</v>
      </c>
      <c r="H5" s="36">
        <f t="shared" si="0"/>
        <v>7025</v>
      </c>
      <c r="I5" s="36">
        <f t="shared" si="0"/>
        <v>6778</v>
      </c>
      <c r="J5" s="36">
        <f t="shared" si="0"/>
        <v>6490</v>
      </c>
      <c r="K5" s="36">
        <f t="shared" si="0"/>
        <v>6452</v>
      </c>
      <c r="L5" s="36">
        <f t="shared" si="0"/>
        <v>7415</v>
      </c>
      <c r="M5" s="36">
        <f t="shared" si="0"/>
        <v>7264</v>
      </c>
      <c r="N5" s="36">
        <f t="shared" si="0"/>
        <v>7304</v>
      </c>
      <c r="O5" s="36">
        <f t="shared" si="0"/>
        <v>10020</v>
      </c>
      <c r="P5" s="35">
        <f aca="true" t="shared" si="1" ref="P5:P24">SUM(D5:O5)</f>
        <v>83770</v>
      </c>
    </row>
    <row r="6" spans="1:16" s="10" customFormat="1" ht="12">
      <c r="A6" s="255"/>
      <c r="B6" s="258"/>
      <c r="C6" s="37" t="s">
        <v>170</v>
      </c>
      <c r="D6" s="38">
        <f>145+1233+36+1</f>
        <v>1415</v>
      </c>
      <c r="E6" s="38">
        <f>162+1+1286+39+2</f>
        <v>1490</v>
      </c>
      <c r="F6" s="38">
        <f>158+1514+47+2</f>
        <v>1721</v>
      </c>
      <c r="G6" s="38">
        <f>132+1+1247+5+25+6</f>
        <v>1416</v>
      </c>
      <c r="H6" s="38">
        <f>181+1+1510+38+1</f>
        <v>1731</v>
      </c>
      <c r="I6" s="38">
        <f>151+1404+7+35+2</f>
        <v>1599</v>
      </c>
      <c r="J6" s="38">
        <f>152+1386+4+43+2</f>
        <v>1587</v>
      </c>
      <c r="K6" s="38">
        <f>165+1369+11+29</f>
        <v>1574</v>
      </c>
      <c r="L6" s="38">
        <f>187+1422+23+1</f>
        <v>1633</v>
      </c>
      <c r="M6" s="38">
        <f>182+1490+40</f>
        <v>1712</v>
      </c>
      <c r="N6" s="38">
        <f>207+1611+46+1</f>
        <v>1865</v>
      </c>
      <c r="O6" s="38">
        <f>220+2214+16+56</f>
        <v>2506</v>
      </c>
      <c r="P6" s="34">
        <f t="shared" si="1"/>
        <v>20249</v>
      </c>
    </row>
    <row r="7" spans="1:16" s="8" customFormat="1" ht="12.75">
      <c r="A7" s="255"/>
      <c r="B7" s="258"/>
      <c r="C7" s="41" t="s">
        <v>172</v>
      </c>
      <c r="D7" s="40">
        <f>82+595+14+1</f>
        <v>692</v>
      </c>
      <c r="E7" s="40">
        <f>83+649+19</f>
        <v>751</v>
      </c>
      <c r="F7" s="40">
        <f>83+736+12+1</f>
        <v>832</v>
      </c>
      <c r="G7" s="40">
        <f>57+595+13+1</f>
        <v>666</v>
      </c>
      <c r="H7" s="40">
        <f>85+788+27</f>
        <v>900</v>
      </c>
      <c r="I7" s="40">
        <f>83+767+22</f>
        <v>872</v>
      </c>
      <c r="J7" s="40">
        <f>83+645+27</f>
        <v>755</v>
      </c>
      <c r="K7" s="40">
        <f>58+697+17</f>
        <v>772</v>
      </c>
      <c r="L7" s="40">
        <f>102+744+21+1</f>
        <v>868</v>
      </c>
      <c r="M7" s="40">
        <f>81+795+17</f>
        <v>893</v>
      </c>
      <c r="N7" s="40">
        <f>74+731+19+1</f>
        <v>825</v>
      </c>
      <c r="O7" s="40">
        <f>126+1065+24</f>
        <v>1215</v>
      </c>
      <c r="P7" s="31">
        <f t="shared" si="1"/>
        <v>10041</v>
      </c>
    </row>
    <row r="8" spans="1:16" s="8" customFormat="1" ht="12.75">
      <c r="A8" s="255"/>
      <c r="B8" s="258"/>
      <c r="C8" s="39" t="s">
        <v>171</v>
      </c>
      <c r="D8" s="40">
        <f>50+619+20</f>
        <v>689</v>
      </c>
      <c r="E8" s="40">
        <f>52+590+11+1</f>
        <v>654</v>
      </c>
      <c r="F8" s="40">
        <f>52+736+15+20</f>
        <v>823</v>
      </c>
      <c r="G8" s="40">
        <f>56+551+11</f>
        <v>618</v>
      </c>
      <c r="H8" s="40">
        <f>66+699+28</f>
        <v>793</v>
      </c>
      <c r="I8" s="40">
        <f>68+691+3+12+11</f>
        <v>785</v>
      </c>
      <c r="J8" s="40">
        <f>62+727+12+17</f>
        <v>818</v>
      </c>
      <c r="K8" s="40">
        <f>53+742+12</f>
        <v>807</v>
      </c>
      <c r="L8" s="40">
        <f>70+707+15</f>
        <v>792</v>
      </c>
      <c r="M8" s="40">
        <f>69+758+13</f>
        <v>840</v>
      </c>
      <c r="N8" s="40">
        <f>73+689+15</f>
        <v>777</v>
      </c>
      <c r="O8" s="40">
        <f>95+917+23+1</f>
        <v>1036</v>
      </c>
      <c r="P8" s="31">
        <f t="shared" si="1"/>
        <v>9432</v>
      </c>
    </row>
    <row r="9" spans="1:16" s="8" customFormat="1" ht="12.75">
      <c r="A9" s="255"/>
      <c r="B9" s="258"/>
      <c r="C9" s="39" t="s">
        <v>21</v>
      </c>
      <c r="D9" s="40">
        <f>62+526+6</f>
        <v>594</v>
      </c>
      <c r="E9" s="40">
        <f>69+461+10</f>
        <v>540</v>
      </c>
      <c r="F9" s="40">
        <f>78+657+14</f>
        <v>749</v>
      </c>
      <c r="G9" s="40">
        <f>43+522+6</f>
        <v>571</v>
      </c>
      <c r="H9" s="40">
        <f>63+570+9</f>
        <v>642</v>
      </c>
      <c r="I9" s="40">
        <v>704</v>
      </c>
      <c r="J9" s="40">
        <f>71+591+10</f>
        <v>672</v>
      </c>
      <c r="K9" s="40">
        <f>51+565+3+16</f>
        <v>635</v>
      </c>
      <c r="L9" s="40">
        <f>65+675+21+1</f>
        <v>762</v>
      </c>
      <c r="M9" s="40">
        <f>589+4+9+60+1</f>
        <v>663</v>
      </c>
      <c r="N9" s="40">
        <f>75+797+11+1</f>
        <v>884</v>
      </c>
      <c r="O9" s="40">
        <f>102+1110+35+1</f>
        <v>1248</v>
      </c>
      <c r="P9" s="31">
        <f t="shared" si="1"/>
        <v>8664</v>
      </c>
    </row>
    <row r="10" spans="1:16" s="8" customFormat="1" ht="12.75">
      <c r="A10" s="255"/>
      <c r="B10" s="258"/>
      <c r="C10" s="39" t="s">
        <v>20</v>
      </c>
      <c r="D10" s="40">
        <f>81+2+583</f>
        <v>666</v>
      </c>
      <c r="E10" s="40">
        <f>55+1+335+5</f>
        <v>396</v>
      </c>
      <c r="F10" s="40">
        <f>78+508+5</f>
        <v>591</v>
      </c>
      <c r="G10" s="40">
        <f>87+619+6</f>
        <v>712</v>
      </c>
      <c r="H10" s="40">
        <f>98+645+6</f>
        <v>749</v>
      </c>
      <c r="I10" s="40">
        <f>91+578+2+3</f>
        <v>674</v>
      </c>
      <c r="J10" s="40">
        <f>61+600</f>
        <v>661</v>
      </c>
      <c r="K10" s="40">
        <f>89+616+8</f>
        <v>713</v>
      </c>
      <c r="L10" s="40">
        <f>108+711+6</f>
        <v>825</v>
      </c>
      <c r="M10" s="40">
        <f>107+663+4</f>
        <v>774</v>
      </c>
      <c r="N10" s="40">
        <f>98+4+614+8</f>
        <v>724</v>
      </c>
      <c r="O10" s="40">
        <f>137+804+7</f>
        <v>948</v>
      </c>
      <c r="P10" s="31">
        <f t="shared" si="1"/>
        <v>8433</v>
      </c>
    </row>
    <row r="11" spans="1:16" s="8" customFormat="1" ht="12.75">
      <c r="A11" s="255"/>
      <c r="B11" s="258"/>
      <c r="C11" s="39" t="s">
        <v>173</v>
      </c>
      <c r="D11" s="40">
        <f>119+3+503+8</f>
        <v>633</v>
      </c>
      <c r="E11" s="40">
        <f>116+502+9</f>
        <v>627</v>
      </c>
      <c r="F11" s="40">
        <f>118+506+6</f>
        <v>630</v>
      </c>
      <c r="G11" s="40">
        <f>99+3+440+4</f>
        <v>546</v>
      </c>
      <c r="H11" s="40">
        <f>110+445+6</f>
        <v>561</v>
      </c>
      <c r="I11" s="40">
        <f>69+480+7</f>
        <v>556</v>
      </c>
      <c r="J11" s="40">
        <f>79+456+8</f>
        <v>543</v>
      </c>
      <c r="K11" s="40">
        <f>56+328+7</f>
        <v>391</v>
      </c>
      <c r="L11" s="40">
        <f>88+558+7</f>
        <v>653</v>
      </c>
      <c r="M11" s="40">
        <f>113+505+11</f>
        <v>629</v>
      </c>
      <c r="N11" s="40">
        <f>64+482+4</f>
        <v>550</v>
      </c>
      <c r="O11" s="40">
        <f>80+583+11</f>
        <v>674</v>
      </c>
      <c r="P11" s="31">
        <f t="shared" si="1"/>
        <v>6993</v>
      </c>
    </row>
    <row r="12" spans="1:16" s="8" customFormat="1" ht="12.75">
      <c r="A12" s="255"/>
      <c r="B12" s="258"/>
      <c r="C12" s="39" t="s">
        <v>22</v>
      </c>
      <c r="D12" s="40">
        <f>33+402+2</f>
        <v>437</v>
      </c>
      <c r="E12" s="40">
        <f>67+458+1</f>
        <v>526</v>
      </c>
      <c r="F12" s="40">
        <f>84+492</f>
        <v>576</v>
      </c>
      <c r="G12" s="40">
        <f>51+442</f>
        <v>493</v>
      </c>
      <c r="H12" s="40">
        <f>70+523+1</f>
        <v>594</v>
      </c>
      <c r="I12" s="40">
        <v>549</v>
      </c>
      <c r="J12" s="40">
        <f>55+458</f>
        <v>513</v>
      </c>
      <c r="K12" s="40">
        <f>47+481+6</f>
        <v>534</v>
      </c>
      <c r="L12" s="40">
        <f>77+621+1</f>
        <v>699</v>
      </c>
      <c r="M12" s="40">
        <f>59+554</f>
        <v>613</v>
      </c>
      <c r="N12" s="40">
        <f>55+447+1</f>
        <v>503</v>
      </c>
      <c r="O12" s="40">
        <f>83+647+1</f>
        <v>731</v>
      </c>
      <c r="P12" s="31">
        <f t="shared" si="1"/>
        <v>6768</v>
      </c>
    </row>
    <row r="13" spans="1:16" s="8" customFormat="1" ht="12.75">
      <c r="A13" s="255"/>
      <c r="B13" s="258"/>
      <c r="C13" s="39" t="s">
        <v>174</v>
      </c>
      <c r="D13" s="40">
        <f>80+465+5+2</f>
        <v>552</v>
      </c>
      <c r="E13" s="40">
        <f>63+405+13+2</f>
        <v>483</v>
      </c>
      <c r="F13" s="40">
        <f>80+453+7</f>
        <v>540</v>
      </c>
      <c r="G13" s="40">
        <f>64+433+2+11</f>
        <v>510</v>
      </c>
      <c r="H13" s="40">
        <f>61+428+9</f>
        <v>498</v>
      </c>
      <c r="I13" s="40">
        <f>88+411+7</f>
        <v>506</v>
      </c>
      <c r="J13" s="40">
        <f>72+391+9</f>
        <v>472</v>
      </c>
      <c r="K13" s="40">
        <f>58+448+7</f>
        <v>513</v>
      </c>
      <c r="L13" s="40">
        <f>64+562+4</f>
        <v>630</v>
      </c>
      <c r="M13" s="40">
        <f>93+534+6</f>
        <v>633</v>
      </c>
      <c r="N13" s="40">
        <f>65+533+8</f>
        <v>606</v>
      </c>
      <c r="O13" s="40">
        <f>80+654+12</f>
        <v>746</v>
      </c>
      <c r="P13" s="31">
        <f t="shared" si="1"/>
        <v>6689</v>
      </c>
    </row>
    <row r="14" spans="1:16" s="8" customFormat="1" ht="13.5" thickBot="1">
      <c r="A14" s="255"/>
      <c r="B14" s="258"/>
      <c r="C14" s="42" t="s">
        <v>17</v>
      </c>
      <c r="D14" s="43">
        <f>66+320+22+1</f>
        <v>409</v>
      </c>
      <c r="E14" s="43">
        <f>80+323+27+1</f>
        <v>431</v>
      </c>
      <c r="F14" s="43">
        <f>94+422+25+1</f>
        <v>542</v>
      </c>
      <c r="G14" s="43">
        <f>81+399+21</f>
        <v>501</v>
      </c>
      <c r="H14" s="43">
        <f>90+448+19</f>
        <v>557</v>
      </c>
      <c r="I14" s="43">
        <f>71+438+24</f>
        <v>533</v>
      </c>
      <c r="J14" s="43">
        <f>74+381+14</f>
        <v>469</v>
      </c>
      <c r="K14" s="43">
        <f>63+425+25</f>
        <v>513</v>
      </c>
      <c r="L14" s="43">
        <f>103+429+3+18</f>
        <v>553</v>
      </c>
      <c r="M14" s="43">
        <f>63+425+3+16</f>
        <v>507</v>
      </c>
      <c r="N14" s="43">
        <f>90+451+29</f>
        <v>570</v>
      </c>
      <c r="O14" s="43">
        <f>86+784+46</f>
        <v>916</v>
      </c>
      <c r="P14" s="33">
        <f t="shared" si="1"/>
        <v>6501</v>
      </c>
    </row>
    <row r="15" spans="1:16" s="8" customFormat="1" ht="21.75" thickBot="1">
      <c r="A15" s="255"/>
      <c r="B15" s="258"/>
      <c r="C15" s="44" t="s">
        <v>176</v>
      </c>
      <c r="D15" s="36">
        <f>SUM(D16:D24)</f>
        <v>836806</v>
      </c>
      <c r="E15" s="36">
        <f aca="true" t="shared" si="2" ref="E15:O15">SUM(E16:E24)</f>
        <v>898543</v>
      </c>
      <c r="F15" s="36">
        <f t="shared" si="2"/>
        <v>1184037</v>
      </c>
      <c r="G15" s="36">
        <f t="shared" si="2"/>
        <v>889448</v>
      </c>
      <c r="H15" s="36">
        <f t="shared" si="2"/>
        <v>1136985</v>
      </c>
      <c r="I15" s="36">
        <f t="shared" si="2"/>
        <v>1262050</v>
      </c>
      <c r="J15" s="36">
        <f t="shared" si="2"/>
        <v>950857</v>
      </c>
      <c r="K15" s="36">
        <f t="shared" si="2"/>
        <v>1052803</v>
      </c>
      <c r="L15" s="36">
        <f t="shared" si="2"/>
        <v>1248090</v>
      </c>
      <c r="M15" s="36">
        <f t="shared" si="2"/>
        <v>1267811</v>
      </c>
      <c r="N15" s="36">
        <f t="shared" si="2"/>
        <v>1416140</v>
      </c>
      <c r="O15" s="36">
        <f t="shared" si="2"/>
        <v>1600158</v>
      </c>
      <c r="P15" s="35">
        <f t="shared" si="1"/>
        <v>13743728</v>
      </c>
    </row>
    <row r="16" spans="1:16" s="8" customFormat="1" ht="12.75">
      <c r="A16" s="255"/>
      <c r="B16" s="258"/>
      <c r="C16" s="37" t="s">
        <v>17</v>
      </c>
      <c r="D16" s="45">
        <v>208727</v>
      </c>
      <c r="E16" s="45">
        <v>284376</v>
      </c>
      <c r="F16" s="45">
        <v>371756</v>
      </c>
      <c r="G16" s="45">
        <v>239474</v>
      </c>
      <c r="H16" s="45">
        <v>394861</v>
      </c>
      <c r="I16" s="45">
        <v>447222</v>
      </c>
      <c r="J16" s="45">
        <v>247481</v>
      </c>
      <c r="K16" s="45">
        <v>286880</v>
      </c>
      <c r="L16" s="45">
        <v>415255</v>
      </c>
      <c r="M16" s="38">
        <v>444624</v>
      </c>
      <c r="N16" s="45">
        <v>307115</v>
      </c>
      <c r="O16" s="45">
        <v>492860</v>
      </c>
      <c r="P16" s="46">
        <f t="shared" si="1"/>
        <v>4140631</v>
      </c>
    </row>
    <row r="17" spans="1:16" s="8" customFormat="1" ht="12.75">
      <c r="A17" s="255"/>
      <c r="B17" s="258"/>
      <c r="C17" s="39" t="s">
        <v>170</v>
      </c>
      <c r="D17" s="40">
        <v>214832</v>
      </c>
      <c r="E17" s="40">
        <v>206183</v>
      </c>
      <c r="F17" s="40">
        <v>239016</v>
      </c>
      <c r="G17" s="40">
        <v>239950</v>
      </c>
      <c r="H17" s="40">
        <v>221967</v>
      </c>
      <c r="I17" s="40">
        <v>237799</v>
      </c>
      <c r="J17" s="40">
        <v>240391</v>
      </c>
      <c r="K17" s="40">
        <v>213099</v>
      </c>
      <c r="L17" s="40">
        <v>231778</v>
      </c>
      <c r="M17" s="40">
        <v>250794</v>
      </c>
      <c r="N17" s="40">
        <v>273368</v>
      </c>
      <c r="O17" s="40">
        <v>349004</v>
      </c>
      <c r="P17" s="31">
        <f t="shared" si="1"/>
        <v>2918181</v>
      </c>
    </row>
    <row r="18" spans="1:16" s="8" customFormat="1" ht="12.75">
      <c r="A18" s="255"/>
      <c r="B18" s="258"/>
      <c r="C18" s="41" t="s">
        <v>172</v>
      </c>
      <c r="D18" s="40">
        <v>148294</v>
      </c>
      <c r="E18" s="40">
        <v>181506</v>
      </c>
      <c r="F18" s="40">
        <v>253053</v>
      </c>
      <c r="G18" s="40">
        <v>156236</v>
      </c>
      <c r="H18" s="40">
        <v>207091</v>
      </c>
      <c r="I18" s="40">
        <v>249632</v>
      </c>
      <c r="J18" s="40">
        <v>178168</v>
      </c>
      <c r="K18" s="40">
        <v>218034</v>
      </c>
      <c r="L18" s="40">
        <v>203699</v>
      </c>
      <c r="M18" s="40">
        <v>208062</v>
      </c>
      <c r="N18" s="40">
        <v>171028</v>
      </c>
      <c r="O18" s="40">
        <v>261764</v>
      </c>
      <c r="P18" s="31">
        <f t="shared" si="1"/>
        <v>2436567</v>
      </c>
    </row>
    <row r="19" spans="1:16" ht="12.75">
      <c r="A19" s="255"/>
      <c r="B19" s="258"/>
      <c r="C19" s="39" t="s">
        <v>171</v>
      </c>
      <c r="D19" s="40">
        <v>109852</v>
      </c>
      <c r="E19" s="40">
        <v>95146</v>
      </c>
      <c r="F19" s="40">
        <v>131820</v>
      </c>
      <c r="G19" s="40">
        <v>101247</v>
      </c>
      <c r="H19" s="40">
        <v>126152</v>
      </c>
      <c r="I19" s="40">
        <v>142168</v>
      </c>
      <c r="J19" s="40">
        <v>124262</v>
      </c>
      <c r="K19" s="40">
        <v>116810</v>
      </c>
      <c r="L19" s="40">
        <v>125813</v>
      </c>
      <c r="M19" s="40">
        <v>165411</v>
      </c>
      <c r="N19" s="40">
        <v>104100</v>
      </c>
      <c r="O19" s="40">
        <v>143382</v>
      </c>
      <c r="P19" s="31">
        <f t="shared" si="1"/>
        <v>1486163</v>
      </c>
    </row>
    <row r="20" spans="1:16" ht="12.75">
      <c r="A20" s="255"/>
      <c r="B20" s="258"/>
      <c r="C20" s="39" t="s">
        <v>21</v>
      </c>
      <c r="D20" s="40">
        <v>32336</v>
      </c>
      <c r="E20" s="40">
        <v>34669</v>
      </c>
      <c r="F20" s="40">
        <v>54472</v>
      </c>
      <c r="G20" s="40">
        <v>29130</v>
      </c>
      <c r="H20" s="40">
        <v>45364</v>
      </c>
      <c r="I20" s="40">
        <v>45855</v>
      </c>
      <c r="J20" s="40">
        <v>39038</v>
      </c>
      <c r="K20" s="40">
        <v>97583</v>
      </c>
      <c r="L20" s="40">
        <v>87377</v>
      </c>
      <c r="M20" s="40">
        <v>72240</v>
      </c>
      <c r="N20" s="40">
        <v>62812</v>
      </c>
      <c r="O20" s="40">
        <v>159015</v>
      </c>
      <c r="P20" s="31">
        <f t="shared" si="1"/>
        <v>759891</v>
      </c>
    </row>
    <row r="21" spans="1:16" ht="12.75">
      <c r="A21" s="255"/>
      <c r="B21" s="258"/>
      <c r="C21" s="39" t="s">
        <v>22</v>
      </c>
      <c r="D21" s="40">
        <v>23237</v>
      </c>
      <c r="E21" s="40">
        <v>21900</v>
      </c>
      <c r="F21" s="40">
        <v>25366</v>
      </c>
      <c r="G21" s="40">
        <v>26176</v>
      </c>
      <c r="H21" s="40">
        <v>34510</v>
      </c>
      <c r="I21" s="40">
        <v>25191</v>
      </c>
      <c r="J21" s="40">
        <v>25062</v>
      </c>
      <c r="K21" s="40">
        <v>30944</v>
      </c>
      <c r="L21" s="40">
        <v>32437</v>
      </c>
      <c r="M21" s="40">
        <v>25928</v>
      </c>
      <c r="N21" s="40">
        <v>399837</v>
      </c>
      <c r="O21" s="40">
        <v>32468</v>
      </c>
      <c r="P21" s="31">
        <f t="shared" si="1"/>
        <v>703056</v>
      </c>
    </row>
    <row r="22" spans="1:16" ht="12.75">
      <c r="A22" s="255"/>
      <c r="B22" s="258"/>
      <c r="C22" s="39" t="s">
        <v>20</v>
      </c>
      <c r="D22" s="40">
        <v>33419</v>
      </c>
      <c r="E22" s="40">
        <v>22855</v>
      </c>
      <c r="F22" s="40">
        <v>32547</v>
      </c>
      <c r="G22" s="40">
        <v>36864</v>
      </c>
      <c r="H22" s="40">
        <v>39682</v>
      </c>
      <c r="I22" s="40">
        <v>40714</v>
      </c>
      <c r="J22" s="40">
        <v>36105</v>
      </c>
      <c r="K22" s="40">
        <v>38884</v>
      </c>
      <c r="L22" s="40">
        <v>62986</v>
      </c>
      <c r="M22" s="40">
        <v>33443</v>
      </c>
      <c r="N22" s="40">
        <v>33998</v>
      </c>
      <c r="O22" s="40">
        <v>44042</v>
      </c>
      <c r="P22" s="31">
        <f t="shared" si="1"/>
        <v>455539</v>
      </c>
    </row>
    <row r="23" spans="1:16" ht="12.75">
      <c r="A23" s="255"/>
      <c r="B23" s="258"/>
      <c r="C23" s="39" t="s">
        <v>173</v>
      </c>
      <c r="D23" s="40">
        <v>34570</v>
      </c>
      <c r="E23" s="40">
        <v>26729</v>
      </c>
      <c r="F23" s="40">
        <v>43045</v>
      </c>
      <c r="G23" s="40">
        <v>34217</v>
      </c>
      <c r="H23" s="40">
        <v>37216</v>
      </c>
      <c r="I23" s="40">
        <v>37200</v>
      </c>
      <c r="J23" s="40">
        <v>33045</v>
      </c>
      <c r="K23" s="40">
        <v>23344</v>
      </c>
      <c r="L23" s="40">
        <v>50200</v>
      </c>
      <c r="M23" s="40">
        <v>35759</v>
      </c>
      <c r="N23" s="40">
        <v>29975</v>
      </c>
      <c r="O23" s="40">
        <v>52280</v>
      </c>
      <c r="P23" s="31">
        <f t="shared" si="1"/>
        <v>437580</v>
      </c>
    </row>
    <row r="24" spans="1:16" ht="13.5" thickBot="1">
      <c r="A24" s="255"/>
      <c r="B24" s="259"/>
      <c r="C24" s="42" t="s">
        <v>174</v>
      </c>
      <c r="D24" s="43">
        <v>31539</v>
      </c>
      <c r="E24" s="43">
        <v>25179</v>
      </c>
      <c r="F24" s="43">
        <v>32962</v>
      </c>
      <c r="G24" s="43">
        <v>26154</v>
      </c>
      <c r="H24" s="43">
        <v>30142</v>
      </c>
      <c r="I24" s="43">
        <v>36269</v>
      </c>
      <c r="J24" s="43">
        <v>27305</v>
      </c>
      <c r="K24" s="43">
        <v>27225</v>
      </c>
      <c r="L24" s="43">
        <v>38545</v>
      </c>
      <c r="M24" s="43">
        <v>31550</v>
      </c>
      <c r="N24" s="43">
        <v>33907</v>
      </c>
      <c r="O24" s="43">
        <v>65343</v>
      </c>
      <c r="P24" s="33">
        <f t="shared" si="1"/>
        <v>406120</v>
      </c>
    </row>
    <row r="25" spans="1:16" ht="13.5" thickBot="1">
      <c r="A25" s="255"/>
      <c r="B25" s="260" t="s">
        <v>178</v>
      </c>
      <c r="C25" s="29" t="s">
        <v>169</v>
      </c>
      <c r="D25" s="36">
        <f>SUM(D26:D34)</f>
        <v>1138</v>
      </c>
      <c r="E25" s="36">
        <f aca="true" t="shared" si="3" ref="E25:P25">SUM(E26:E34)</f>
        <v>1115</v>
      </c>
      <c r="F25" s="36">
        <f t="shared" si="3"/>
        <v>1332</v>
      </c>
      <c r="G25" s="36">
        <f t="shared" si="3"/>
        <v>1018</v>
      </c>
      <c r="H25" s="36">
        <f t="shared" si="3"/>
        <v>1283</v>
      </c>
      <c r="I25" s="36">
        <f t="shared" si="3"/>
        <v>1280</v>
      </c>
      <c r="J25" s="36">
        <f t="shared" si="3"/>
        <v>1242</v>
      </c>
      <c r="K25" s="36">
        <f t="shared" si="3"/>
        <v>1203</v>
      </c>
      <c r="L25" s="36">
        <f t="shared" si="3"/>
        <v>1186</v>
      </c>
      <c r="M25" s="36">
        <f t="shared" si="3"/>
        <v>1208</v>
      </c>
      <c r="N25" s="36">
        <f t="shared" si="3"/>
        <v>1121</v>
      </c>
      <c r="O25" s="36">
        <f t="shared" si="3"/>
        <v>1239</v>
      </c>
      <c r="P25" s="36">
        <f t="shared" si="3"/>
        <v>14365</v>
      </c>
    </row>
    <row r="26" spans="1:16" ht="12.75">
      <c r="A26" s="255"/>
      <c r="B26" s="261"/>
      <c r="C26" s="37" t="s">
        <v>170</v>
      </c>
      <c r="D26" s="45">
        <v>338</v>
      </c>
      <c r="E26" s="45">
        <v>358</v>
      </c>
      <c r="F26" s="45">
        <v>422</v>
      </c>
      <c r="G26" s="45">
        <v>333</v>
      </c>
      <c r="H26" s="45">
        <v>399</v>
      </c>
      <c r="I26" s="45">
        <v>416</v>
      </c>
      <c r="J26" s="45">
        <v>420</v>
      </c>
      <c r="K26" s="45">
        <v>404</v>
      </c>
      <c r="L26" s="45">
        <v>365</v>
      </c>
      <c r="M26" s="45">
        <v>335</v>
      </c>
      <c r="N26" s="45">
        <v>350</v>
      </c>
      <c r="O26" s="45">
        <v>385</v>
      </c>
      <c r="P26" s="46">
        <f aca="true" t="shared" si="4" ref="P26:P34">SUM(D26:O26)</f>
        <v>4525</v>
      </c>
    </row>
    <row r="27" spans="1:16" ht="12.75">
      <c r="A27" s="255"/>
      <c r="B27" s="261"/>
      <c r="C27" s="41" t="s">
        <v>172</v>
      </c>
      <c r="D27" s="40">
        <v>207</v>
      </c>
      <c r="E27" s="40">
        <v>222</v>
      </c>
      <c r="F27" s="40">
        <v>273</v>
      </c>
      <c r="G27" s="40">
        <v>203</v>
      </c>
      <c r="H27" s="40">
        <v>267</v>
      </c>
      <c r="I27" s="40">
        <v>246</v>
      </c>
      <c r="J27" s="40">
        <v>227</v>
      </c>
      <c r="K27" s="40">
        <v>253</v>
      </c>
      <c r="L27" s="40">
        <v>244</v>
      </c>
      <c r="M27" s="40">
        <v>292</v>
      </c>
      <c r="N27" s="40">
        <v>238</v>
      </c>
      <c r="O27" s="40">
        <v>286</v>
      </c>
      <c r="P27" s="31">
        <f t="shared" si="4"/>
        <v>2958</v>
      </c>
    </row>
    <row r="28" spans="1:16" ht="12.75">
      <c r="A28" s="255"/>
      <c r="B28" s="261"/>
      <c r="C28" s="39" t="s">
        <v>171</v>
      </c>
      <c r="D28" s="40">
        <v>169</v>
      </c>
      <c r="E28" s="40">
        <v>156</v>
      </c>
      <c r="F28" s="40">
        <v>189</v>
      </c>
      <c r="G28" s="40">
        <v>120</v>
      </c>
      <c r="H28" s="40">
        <v>185</v>
      </c>
      <c r="I28" s="40">
        <v>195</v>
      </c>
      <c r="J28" s="40">
        <v>175</v>
      </c>
      <c r="K28" s="40">
        <v>160</v>
      </c>
      <c r="L28" s="40">
        <v>180</v>
      </c>
      <c r="M28" s="40">
        <v>205</v>
      </c>
      <c r="N28" s="40">
        <v>173</v>
      </c>
      <c r="O28" s="40">
        <v>190</v>
      </c>
      <c r="P28" s="31">
        <f t="shared" si="4"/>
        <v>2097</v>
      </c>
    </row>
    <row r="29" spans="1:16" ht="12.75">
      <c r="A29" s="255"/>
      <c r="B29" s="261"/>
      <c r="C29" s="39" t="s">
        <v>17</v>
      </c>
      <c r="D29" s="40">
        <v>71</v>
      </c>
      <c r="E29" s="40">
        <v>77</v>
      </c>
      <c r="F29" s="40">
        <v>88</v>
      </c>
      <c r="G29" s="40">
        <v>69</v>
      </c>
      <c r="H29" s="40">
        <v>82</v>
      </c>
      <c r="I29" s="40">
        <v>105</v>
      </c>
      <c r="J29" s="40">
        <v>98</v>
      </c>
      <c r="K29" s="40">
        <v>87</v>
      </c>
      <c r="L29" s="40">
        <v>74</v>
      </c>
      <c r="M29" s="40">
        <v>69</v>
      </c>
      <c r="N29" s="40">
        <v>73</v>
      </c>
      <c r="O29" s="40">
        <v>87</v>
      </c>
      <c r="P29" s="31">
        <f t="shared" si="4"/>
        <v>980</v>
      </c>
    </row>
    <row r="30" spans="1:16" ht="12.75">
      <c r="A30" s="255"/>
      <c r="B30" s="261"/>
      <c r="C30" s="39" t="s">
        <v>174</v>
      </c>
      <c r="D30" s="40">
        <v>84</v>
      </c>
      <c r="E30" s="40">
        <v>67</v>
      </c>
      <c r="F30" s="40">
        <v>75</v>
      </c>
      <c r="G30" s="40">
        <v>65</v>
      </c>
      <c r="H30" s="40">
        <v>91</v>
      </c>
      <c r="I30" s="40">
        <v>55</v>
      </c>
      <c r="J30" s="40">
        <v>60</v>
      </c>
      <c r="K30" s="40">
        <v>69</v>
      </c>
      <c r="L30" s="40">
        <v>74</v>
      </c>
      <c r="M30" s="40">
        <v>83</v>
      </c>
      <c r="N30" s="40">
        <v>67</v>
      </c>
      <c r="O30" s="40">
        <v>72</v>
      </c>
      <c r="P30" s="31">
        <f t="shared" si="4"/>
        <v>862</v>
      </c>
    </row>
    <row r="31" spans="1:16" ht="12.75">
      <c r="A31" s="255"/>
      <c r="B31" s="261"/>
      <c r="C31" s="39" t="s">
        <v>21</v>
      </c>
      <c r="D31" s="40">
        <v>71</v>
      </c>
      <c r="E31" s="40">
        <v>66</v>
      </c>
      <c r="F31" s="40">
        <v>85</v>
      </c>
      <c r="G31" s="40">
        <v>49</v>
      </c>
      <c r="H31" s="40">
        <v>64</v>
      </c>
      <c r="I31" s="40">
        <v>80</v>
      </c>
      <c r="J31" s="40">
        <v>58</v>
      </c>
      <c r="K31" s="40">
        <v>62</v>
      </c>
      <c r="L31" s="40">
        <v>73</v>
      </c>
      <c r="M31" s="40">
        <v>72</v>
      </c>
      <c r="N31" s="40">
        <v>48</v>
      </c>
      <c r="O31" s="40">
        <v>72</v>
      </c>
      <c r="P31" s="31">
        <f t="shared" si="4"/>
        <v>800</v>
      </c>
    </row>
    <row r="32" spans="1:16" ht="12.75">
      <c r="A32" s="255"/>
      <c r="B32" s="261"/>
      <c r="C32" s="39" t="s">
        <v>173</v>
      </c>
      <c r="D32" s="40">
        <v>86</v>
      </c>
      <c r="E32" s="40">
        <v>64</v>
      </c>
      <c r="F32" s="40">
        <v>63</v>
      </c>
      <c r="G32" s="40">
        <v>65</v>
      </c>
      <c r="H32" s="40">
        <v>66</v>
      </c>
      <c r="I32" s="40">
        <v>61</v>
      </c>
      <c r="J32" s="40">
        <v>70</v>
      </c>
      <c r="K32" s="40">
        <v>61</v>
      </c>
      <c r="L32" s="40">
        <v>60</v>
      </c>
      <c r="M32" s="40">
        <v>48</v>
      </c>
      <c r="N32" s="40">
        <v>66</v>
      </c>
      <c r="O32" s="40">
        <v>42</v>
      </c>
      <c r="P32" s="31">
        <f t="shared" si="4"/>
        <v>752</v>
      </c>
    </row>
    <row r="33" spans="1:16" ht="12.75">
      <c r="A33" s="255"/>
      <c r="B33" s="261"/>
      <c r="C33" s="39" t="s">
        <v>20</v>
      </c>
      <c r="D33" s="40">
        <v>59</v>
      </c>
      <c r="E33" s="40">
        <v>50</v>
      </c>
      <c r="F33" s="40">
        <v>79</v>
      </c>
      <c r="G33" s="40">
        <v>67</v>
      </c>
      <c r="H33" s="40">
        <v>64</v>
      </c>
      <c r="I33" s="40">
        <v>62</v>
      </c>
      <c r="J33" s="40">
        <v>81</v>
      </c>
      <c r="K33" s="40">
        <v>58</v>
      </c>
      <c r="L33" s="40">
        <v>44</v>
      </c>
      <c r="M33" s="40">
        <v>60</v>
      </c>
      <c r="N33" s="40">
        <v>66</v>
      </c>
      <c r="O33" s="40">
        <v>60</v>
      </c>
      <c r="P33" s="31">
        <f t="shared" si="4"/>
        <v>750</v>
      </c>
    </row>
    <row r="34" spans="1:16" ht="13.5" thickBot="1">
      <c r="A34" s="255"/>
      <c r="B34" s="261"/>
      <c r="C34" s="42" t="s">
        <v>22</v>
      </c>
      <c r="D34" s="43">
        <v>53</v>
      </c>
      <c r="E34" s="43">
        <v>55</v>
      </c>
      <c r="F34" s="43">
        <v>58</v>
      </c>
      <c r="G34" s="43">
        <v>47</v>
      </c>
      <c r="H34" s="43">
        <v>65</v>
      </c>
      <c r="I34" s="43">
        <v>60</v>
      </c>
      <c r="J34" s="43">
        <v>53</v>
      </c>
      <c r="K34" s="43">
        <v>49</v>
      </c>
      <c r="L34" s="43">
        <v>72</v>
      </c>
      <c r="M34" s="43">
        <v>44</v>
      </c>
      <c r="N34" s="43">
        <v>40</v>
      </c>
      <c r="O34" s="43">
        <v>45</v>
      </c>
      <c r="P34" s="33">
        <f t="shared" si="4"/>
        <v>641</v>
      </c>
    </row>
    <row r="35" spans="1:16" ht="21.75" thickBot="1">
      <c r="A35" s="255"/>
      <c r="B35" s="261"/>
      <c r="C35" s="44" t="s">
        <v>176</v>
      </c>
      <c r="D35" s="36">
        <f>SUM(D36:D44)</f>
        <v>557363</v>
      </c>
      <c r="E35" s="36">
        <f aca="true" t="shared" si="5" ref="E35:P35">SUM(E36:E44)</f>
        <v>463744</v>
      </c>
      <c r="F35" s="36">
        <f t="shared" si="5"/>
        <v>623759</v>
      </c>
      <c r="G35" s="36">
        <f t="shared" si="5"/>
        <v>464167</v>
      </c>
      <c r="H35" s="36">
        <f t="shared" si="5"/>
        <v>523746</v>
      </c>
      <c r="I35" s="36">
        <f t="shared" si="5"/>
        <v>912349</v>
      </c>
      <c r="J35" s="36">
        <f t="shared" si="5"/>
        <v>644056</v>
      </c>
      <c r="K35" s="36">
        <f t="shared" si="5"/>
        <v>457192</v>
      </c>
      <c r="L35" s="36">
        <f t="shared" si="5"/>
        <v>556001</v>
      </c>
      <c r="M35" s="36">
        <f t="shared" si="5"/>
        <v>614415</v>
      </c>
      <c r="N35" s="36">
        <f t="shared" si="5"/>
        <v>481835</v>
      </c>
      <c r="O35" s="36">
        <f t="shared" si="5"/>
        <v>416274</v>
      </c>
      <c r="P35" s="36">
        <f t="shared" si="5"/>
        <v>6714901</v>
      </c>
    </row>
    <row r="36" spans="1:16" ht="12.75">
      <c r="A36" s="255"/>
      <c r="B36" s="261"/>
      <c r="C36" s="37" t="s">
        <v>17</v>
      </c>
      <c r="D36" s="45">
        <v>225998</v>
      </c>
      <c r="E36" s="45">
        <v>114038</v>
      </c>
      <c r="F36" s="45">
        <v>231601</v>
      </c>
      <c r="G36" s="45">
        <v>118350</v>
      </c>
      <c r="H36" s="45">
        <v>102466</v>
      </c>
      <c r="I36" s="45">
        <v>202767</v>
      </c>
      <c r="J36" s="45">
        <v>162371</v>
      </c>
      <c r="K36" s="45">
        <v>121416</v>
      </c>
      <c r="L36" s="45">
        <v>186395</v>
      </c>
      <c r="M36" s="45">
        <v>214992</v>
      </c>
      <c r="N36" s="45">
        <v>104440</v>
      </c>
      <c r="O36" s="45">
        <v>112905</v>
      </c>
      <c r="P36" s="46">
        <f aca="true" t="shared" si="6" ref="P36:P44">SUM(D36:O36)</f>
        <v>1897739</v>
      </c>
    </row>
    <row r="37" spans="1:16" ht="12.75">
      <c r="A37" s="255"/>
      <c r="B37" s="261"/>
      <c r="C37" s="39" t="s">
        <v>170</v>
      </c>
      <c r="D37" s="40">
        <v>98544</v>
      </c>
      <c r="E37" s="40">
        <v>94557</v>
      </c>
      <c r="F37" s="40">
        <v>151434</v>
      </c>
      <c r="G37" s="40">
        <v>113358</v>
      </c>
      <c r="H37" s="40">
        <v>189276</v>
      </c>
      <c r="I37" s="40">
        <v>128241</v>
      </c>
      <c r="J37" s="40">
        <v>147117</v>
      </c>
      <c r="K37" s="40">
        <v>112785</v>
      </c>
      <c r="L37" s="40">
        <v>104005</v>
      </c>
      <c r="M37" s="40">
        <v>94662</v>
      </c>
      <c r="N37" s="40">
        <v>109289</v>
      </c>
      <c r="O37" s="40">
        <v>116706</v>
      </c>
      <c r="P37" s="31">
        <f t="shared" si="6"/>
        <v>1459974</v>
      </c>
    </row>
    <row r="38" spans="1:16" ht="12.75">
      <c r="A38" s="255"/>
      <c r="B38" s="261"/>
      <c r="C38" s="41" t="s">
        <v>172</v>
      </c>
      <c r="D38" s="40">
        <v>67066</v>
      </c>
      <c r="E38" s="40">
        <v>104793</v>
      </c>
      <c r="F38" s="40">
        <v>101357</v>
      </c>
      <c r="G38" s="40">
        <v>91919</v>
      </c>
      <c r="H38" s="40">
        <v>108286</v>
      </c>
      <c r="I38" s="40">
        <v>102983</v>
      </c>
      <c r="J38" s="40">
        <v>169862</v>
      </c>
      <c r="K38" s="40">
        <v>102616</v>
      </c>
      <c r="L38" s="40">
        <v>113564</v>
      </c>
      <c r="M38" s="40">
        <v>124981</v>
      </c>
      <c r="N38" s="40">
        <v>80958</v>
      </c>
      <c r="O38" s="40">
        <v>11072</v>
      </c>
      <c r="P38" s="31">
        <f t="shared" si="6"/>
        <v>1179457</v>
      </c>
    </row>
    <row r="39" spans="1:16" ht="12.75">
      <c r="A39" s="255"/>
      <c r="B39" s="261"/>
      <c r="C39" s="39" t="s">
        <v>171</v>
      </c>
      <c r="D39" s="40">
        <v>53845</v>
      </c>
      <c r="E39" s="40">
        <v>45175</v>
      </c>
      <c r="F39" s="40">
        <v>56772</v>
      </c>
      <c r="G39" s="40">
        <v>52761</v>
      </c>
      <c r="H39" s="40">
        <v>54238</v>
      </c>
      <c r="I39" s="40">
        <v>365689</v>
      </c>
      <c r="J39" s="40">
        <v>50034</v>
      </c>
      <c r="K39" s="40">
        <v>47757</v>
      </c>
      <c r="L39" s="40">
        <v>45609</v>
      </c>
      <c r="M39" s="40">
        <v>119512</v>
      </c>
      <c r="N39" s="40">
        <v>91282</v>
      </c>
      <c r="O39" s="40">
        <v>94152</v>
      </c>
      <c r="P39" s="31">
        <f t="shared" si="6"/>
        <v>1076826</v>
      </c>
    </row>
    <row r="40" spans="1:16" ht="12.75">
      <c r="A40" s="255"/>
      <c r="B40" s="261"/>
      <c r="C40" s="39" t="s">
        <v>21</v>
      </c>
      <c r="D40" s="40">
        <v>42533</v>
      </c>
      <c r="E40" s="40">
        <v>14241</v>
      </c>
      <c r="F40" s="40">
        <v>15786</v>
      </c>
      <c r="G40" s="40">
        <v>13270</v>
      </c>
      <c r="H40" s="40">
        <v>15435</v>
      </c>
      <c r="I40" s="40">
        <v>36713</v>
      </c>
      <c r="J40" s="40">
        <v>29320</v>
      </c>
      <c r="K40" s="40">
        <v>23587</v>
      </c>
      <c r="L40" s="40">
        <v>41990</v>
      </c>
      <c r="M40" s="40">
        <v>21627</v>
      </c>
      <c r="N40" s="40">
        <v>24377</v>
      </c>
      <c r="O40" s="40">
        <v>35068</v>
      </c>
      <c r="P40" s="31">
        <f t="shared" si="6"/>
        <v>313947</v>
      </c>
    </row>
    <row r="41" spans="1:16" ht="12.75">
      <c r="A41" s="255"/>
      <c r="B41" s="261"/>
      <c r="C41" s="39" t="s">
        <v>20</v>
      </c>
      <c r="D41" s="40">
        <v>13796</v>
      </c>
      <c r="E41" s="40">
        <v>22565</v>
      </c>
      <c r="F41" s="40">
        <v>17294</v>
      </c>
      <c r="G41" s="40">
        <v>19894</v>
      </c>
      <c r="H41" s="40">
        <v>16966</v>
      </c>
      <c r="I41" s="40">
        <v>28217</v>
      </c>
      <c r="J41" s="40">
        <v>41552</v>
      </c>
      <c r="K41" s="40">
        <v>15655</v>
      </c>
      <c r="L41" s="40">
        <v>14067</v>
      </c>
      <c r="M41" s="40">
        <v>10986</v>
      </c>
      <c r="N41" s="40">
        <v>29609</v>
      </c>
      <c r="O41" s="40">
        <v>11492</v>
      </c>
      <c r="P41" s="31">
        <f t="shared" si="6"/>
        <v>242093</v>
      </c>
    </row>
    <row r="42" spans="1:16" ht="12.75">
      <c r="A42" s="255"/>
      <c r="B42" s="261"/>
      <c r="C42" s="39" t="s">
        <v>174</v>
      </c>
      <c r="D42" s="40">
        <v>14253</v>
      </c>
      <c r="E42" s="40">
        <v>43046</v>
      </c>
      <c r="F42" s="40">
        <v>20889</v>
      </c>
      <c r="G42" s="40">
        <v>8378</v>
      </c>
      <c r="H42" s="40">
        <v>15805</v>
      </c>
      <c r="I42" s="40">
        <v>9262</v>
      </c>
      <c r="J42" s="40">
        <v>17420</v>
      </c>
      <c r="K42" s="40">
        <v>12590</v>
      </c>
      <c r="L42" s="40">
        <v>28335</v>
      </c>
      <c r="M42" s="40">
        <v>9613</v>
      </c>
      <c r="N42" s="40">
        <v>12912</v>
      </c>
      <c r="O42" s="40">
        <v>11121</v>
      </c>
      <c r="P42" s="31">
        <f t="shared" si="6"/>
        <v>203624</v>
      </c>
    </row>
    <row r="43" spans="1:16" ht="12.75">
      <c r="A43" s="255"/>
      <c r="B43" s="261"/>
      <c r="C43" s="39" t="s">
        <v>173</v>
      </c>
      <c r="D43" s="40">
        <v>31811</v>
      </c>
      <c r="E43" s="40">
        <v>16658</v>
      </c>
      <c r="F43" s="40">
        <v>18117</v>
      </c>
      <c r="G43" s="40">
        <v>20296</v>
      </c>
      <c r="H43" s="40">
        <v>12956</v>
      </c>
      <c r="I43" s="40">
        <v>22144</v>
      </c>
      <c r="J43" s="40">
        <v>15635</v>
      </c>
      <c r="K43" s="40">
        <v>12487</v>
      </c>
      <c r="L43" s="40">
        <v>12380</v>
      </c>
      <c r="M43" s="40">
        <v>11905</v>
      </c>
      <c r="N43" s="40">
        <v>20896</v>
      </c>
      <c r="O43" s="40">
        <v>6759</v>
      </c>
      <c r="P43" s="31">
        <f t="shared" si="6"/>
        <v>202044</v>
      </c>
    </row>
    <row r="44" spans="1:16" ht="13.5" thickBot="1">
      <c r="A44" s="256"/>
      <c r="B44" s="262"/>
      <c r="C44" s="42" t="s">
        <v>22</v>
      </c>
      <c r="D44" s="43">
        <v>9517</v>
      </c>
      <c r="E44" s="43">
        <v>8671</v>
      </c>
      <c r="F44" s="43">
        <v>10509</v>
      </c>
      <c r="G44" s="43">
        <v>25941</v>
      </c>
      <c r="H44" s="43">
        <v>8318</v>
      </c>
      <c r="I44" s="43">
        <v>16333</v>
      </c>
      <c r="J44" s="43">
        <v>10745</v>
      </c>
      <c r="K44" s="43">
        <v>8299</v>
      </c>
      <c r="L44" s="43">
        <v>9656</v>
      </c>
      <c r="M44" s="43">
        <v>6137</v>
      </c>
      <c r="N44" s="43">
        <v>8072</v>
      </c>
      <c r="O44" s="43">
        <v>16999</v>
      </c>
      <c r="P44" s="33">
        <f t="shared" si="6"/>
        <v>139197</v>
      </c>
    </row>
    <row r="45" spans="1:19" ht="13.5" customHeight="1">
      <c r="A45" s="12" t="s">
        <v>168</v>
      </c>
      <c r="K45" s="3" t="s">
        <v>16</v>
      </c>
      <c r="R45"/>
      <c r="S45"/>
    </row>
    <row r="46" ht="10.5" customHeight="1"/>
    <row r="47" ht="10.5" customHeight="1">
      <c r="A47" s="14"/>
    </row>
    <row r="48" ht="10.5" customHeight="1">
      <c r="A48" s="14"/>
    </row>
    <row r="49" ht="10.5" customHeight="1"/>
    <row r="50" ht="10.5" customHeight="1">
      <c r="A50" s="14"/>
    </row>
    <row r="51" ht="10.5" customHeight="1">
      <c r="A51" s="14"/>
    </row>
    <row r="52" ht="10.5" customHeight="1"/>
    <row r="53" ht="10.5" customHeight="1">
      <c r="A53" s="14"/>
    </row>
    <row r="54" ht="10.5" customHeight="1">
      <c r="A54" s="14"/>
    </row>
    <row r="55" ht="10.5" customHeight="1">
      <c r="A55" s="14"/>
    </row>
    <row r="56" ht="10.5" customHeight="1">
      <c r="A56" s="14"/>
    </row>
    <row r="57" ht="10.5" customHeight="1">
      <c r="A57" s="14"/>
    </row>
    <row r="58" ht="10.5" customHeight="1">
      <c r="A58" s="14"/>
    </row>
    <row r="59" ht="10.5" customHeight="1">
      <c r="A59" s="14"/>
    </row>
    <row r="60" ht="10.5" customHeight="1">
      <c r="A60" s="14"/>
    </row>
    <row r="61" ht="10.5" customHeight="1">
      <c r="A61" s="14"/>
    </row>
    <row r="62" ht="10.5" customHeight="1">
      <c r="A62" s="14"/>
    </row>
    <row r="63" ht="10.5" customHeight="1">
      <c r="A63" s="14"/>
    </row>
    <row r="64" ht="10.5" customHeight="1">
      <c r="A64" s="14"/>
    </row>
    <row r="65" ht="12.75">
      <c r="B65" s="13"/>
    </row>
    <row r="66" ht="12.75">
      <c r="B66" s="13"/>
    </row>
    <row r="67" ht="12.75">
      <c r="B67" s="13"/>
    </row>
    <row r="68" ht="12.75">
      <c r="B68" s="13"/>
    </row>
  </sheetData>
  <sheetProtection/>
  <mergeCells count="4">
    <mergeCell ref="D3:P3"/>
    <mergeCell ref="A5:A44"/>
    <mergeCell ref="B5:B24"/>
    <mergeCell ref="B25:B44"/>
  </mergeCells>
  <printOptions horizont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U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2" customWidth="1"/>
    <col min="2" max="2" width="3.28125" style="2" bestFit="1" customWidth="1"/>
    <col min="3" max="3" width="14.140625" style="19" customWidth="1"/>
    <col min="4" max="6" width="6.57421875" style="2" bestFit="1" customWidth="1"/>
    <col min="7" max="7" width="6.28125" style="2" customWidth="1"/>
    <col min="8" max="8" width="7.00390625" style="2" customWidth="1"/>
    <col min="9" max="9" width="6.57421875" style="2" bestFit="1" customWidth="1"/>
    <col min="10" max="10" width="6.8515625" style="2" bestFit="1" customWidth="1"/>
    <col min="11" max="11" width="6.28125" style="2" customWidth="1"/>
    <col min="12" max="12" width="6.8515625" style="2" bestFit="1" customWidth="1"/>
    <col min="13" max="13" width="6.57421875" style="2" bestFit="1" customWidth="1"/>
    <col min="14" max="14" width="6.8515625" style="2" customWidth="1"/>
    <col min="15" max="15" width="6.57421875" style="2" bestFit="1" customWidth="1"/>
    <col min="16" max="16" width="7.57421875" style="47" bestFit="1" customWidth="1"/>
    <col min="17" max="16384" width="9.140625" style="2" customWidth="1"/>
  </cols>
  <sheetData>
    <row r="1" spans="1:21" ht="18.75">
      <c r="A1" s="4" t="s">
        <v>182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T1"/>
      <c r="U1"/>
    </row>
    <row r="2" ht="9.75" customHeight="1" thickBot="1"/>
    <row r="3" spans="4:16" ht="15" customHeight="1" thickBot="1">
      <c r="D3" s="253">
        <v>2012</v>
      </c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</row>
    <row r="4" spans="4:16" ht="21.75" thickBot="1">
      <c r="D4" s="111" t="s">
        <v>2</v>
      </c>
      <c r="E4" s="111" t="s">
        <v>3</v>
      </c>
      <c r="F4" s="111" t="s">
        <v>4</v>
      </c>
      <c r="G4" s="111" t="s">
        <v>5</v>
      </c>
      <c r="H4" s="111" t="s">
        <v>6</v>
      </c>
      <c r="I4" s="111" t="s">
        <v>7</v>
      </c>
      <c r="J4" s="111" t="s">
        <v>8</v>
      </c>
      <c r="K4" s="111" t="s">
        <v>9</v>
      </c>
      <c r="L4" s="111" t="s">
        <v>10</v>
      </c>
      <c r="M4" s="111" t="s">
        <v>11</v>
      </c>
      <c r="N4" s="111" t="s">
        <v>12</v>
      </c>
      <c r="O4" s="111" t="s">
        <v>13</v>
      </c>
      <c r="P4" s="111" t="s">
        <v>159</v>
      </c>
    </row>
    <row r="5" spans="1:16" ht="21.75" customHeight="1" thickBot="1">
      <c r="A5" s="263" t="s">
        <v>177</v>
      </c>
      <c r="B5" s="266" t="s">
        <v>179</v>
      </c>
      <c r="C5" s="29" t="s">
        <v>169</v>
      </c>
      <c r="D5" s="48">
        <f aca="true" t="shared" si="0" ref="D5:O5">SUM(D6:D14)</f>
        <v>271</v>
      </c>
      <c r="E5" s="48">
        <f t="shared" si="0"/>
        <v>298</v>
      </c>
      <c r="F5" s="48">
        <f t="shared" si="0"/>
        <v>358</v>
      </c>
      <c r="G5" s="48">
        <f t="shared" si="0"/>
        <v>278</v>
      </c>
      <c r="H5" s="48">
        <f t="shared" si="0"/>
        <v>352</v>
      </c>
      <c r="I5" s="48">
        <f t="shared" si="0"/>
        <v>361</v>
      </c>
      <c r="J5" s="48">
        <f t="shared" si="0"/>
        <v>273</v>
      </c>
      <c r="K5" s="48">
        <f t="shared" si="0"/>
        <v>262</v>
      </c>
      <c r="L5" s="48">
        <f t="shared" si="0"/>
        <v>299</v>
      </c>
      <c r="M5" s="48">
        <f t="shared" si="0"/>
        <v>328</v>
      </c>
      <c r="N5" s="48">
        <f t="shared" si="0"/>
        <v>339</v>
      </c>
      <c r="O5" s="48">
        <f t="shared" si="0"/>
        <v>369</v>
      </c>
      <c r="P5" s="30">
        <f aca="true" t="shared" si="1" ref="P5:P37">SUM(D5:O5)</f>
        <v>3788</v>
      </c>
    </row>
    <row r="6" spans="1:16" ht="14.25" customHeight="1">
      <c r="A6" s="264"/>
      <c r="B6" s="267"/>
      <c r="C6" s="37" t="s">
        <v>170</v>
      </c>
      <c r="D6" s="50">
        <v>76</v>
      </c>
      <c r="E6" s="50">
        <v>62</v>
      </c>
      <c r="F6" s="50">
        <v>86</v>
      </c>
      <c r="G6" s="50">
        <v>67</v>
      </c>
      <c r="H6" s="50">
        <v>81</v>
      </c>
      <c r="I6" s="50">
        <v>76</v>
      </c>
      <c r="J6" s="50">
        <v>70</v>
      </c>
      <c r="K6" s="50">
        <v>73</v>
      </c>
      <c r="L6" s="50">
        <v>71</v>
      </c>
      <c r="M6" s="50">
        <v>69</v>
      </c>
      <c r="N6" s="50">
        <v>88</v>
      </c>
      <c r="O6" s="50">
        <v>90</v>
      </c>
      <c r="P6" s="51">
        <f t="shared" si="1"/>
        <v>909</v>
      </c>
    </row>
    <row r="7" spans="1:16" ht="12.75">
      <c r="A7" s="264"/>
      <c r="B7" s="267"/>
      <c r="C7" s="41" t="s">
        <v>172</v>
      </c>
      <c r="D7" s="52">
        <v>50</v>
      </c>
      <c r="E7" s="52">
        <v>67</v>
      </c>
      <c r="F7" s="52">
        <v>82</v>
      </c>
      <c r="G7" s="52">
        <v>66</v>
      </c>
      <c r="H7" s="52">
        <v>76</v>
      </c>
      <c r="I7" s="52">
        <v>78</v>
      </c>
      <c r="J7" s="52">
        <v>61</v>
      </c>
      <c r="K7" s="52">
        <v>53</v>
      </c>
      <c r="L7" s="52">
        <v>64</v>
      </c>
      <c r="M7" s="52">
        <v>83</v>
      </c>
      <c r="N7" s="52">
        <v>84</v>
      </c>
      <c r="O7" s="52">
        <v>95</v>
      </c>
      <c r="P7" s="26">
        <f t="shared" si="1"/>
        <v>859</v>
      </c>
    </row>
    <row r="8" spans="1:16" ht="12.75">
      <c r="A8" s="264"/>
      <c r="B8" s="267"/>
      <c r="C8" s="39" t="s">
        <v>171</v>
      </c>
      <c r="D8" s="52">
        <v>53</v>
      </c>
      <c r="E8" s="52">
        <v>54</v>
      </c>
      <c r="F8" s="52">
        <v>56</v>
      </c>
      <c r="G8" s="52">
        <v>45</v>
      </c>
      <c r="H8" s="52">
        <v>60</v>
      </c>
      <c r="I8" s="52">
        <v>66</v>
      </c>
      <c r="J8" s="52">
        <v>40</v>
      </c>
      <c r="K8" s="52">
        <v>42</v>
      </c>
      <c r="L8" s="52">
        <v>46</v>
      </c>
      <c r="M8" s="52">
        <v>59</v>
      </c>
      <c r="N8" s="52">
        <v>46</v>
      </c>
      <c r="O8" s="52">
        <v>46</v>
      </c>
      <c r="P8" s="26">
        <f t="shared" si="1"/>
        <v>613</v>
      </c>
    </row>
    <row r="9" spans="1:16" ht="12.75">
      <c r="A9" s="264"/>
      <c r="B9" s="267"/>
      <c r="C9" s="39" t="s">
        <v>17</v>
      </c>
      <c r="D9" s="52">
        <v>34</v>
      </c>
      <c r="E9" s="52">
        <v>40</v>
      </c>
      <c r="F9" s="52">
        <v>45</v>
      </c>
      <c r="G9" s="52">
        <v>23</v>
      </c>
      <c r="H9" s="52">
        <v>34</v>
      </c>
      <c r="I9" s="52">
        <v>47</v>
      </c>
      <c r="J9" s="52">
        <v>30</v>
      </c>
      <c r="K9" s="52">
        <v>30</v>
      </c>
      <c r="L9" s="52">
        <v>30</v>
      </c>
      <c r="M9" s="52">
        <v>33</v>
      </c>
      <c r="N9" s="52">
        <v>46</v>
      </c>
      <c r="O9" s="52">
        <v>62</v>
      </c>
      <c r="P9" s="26">
        <f t="shared" si="1"/>
        <v>454</v>
      </c>
    </row>
    <row r="10" spans="1:16" ht="12.75">
      <c r="A10" s="264"/>
      <c r="B10" s="267"/>
      <c r="C10" s="39" t="s">
        <v>20</v>
      </c>
      <c r="D10" s="52">
        <v>20</v>
      </c>
      <c r="E10" s="52">
        <v>18</v>
      </c>
      <c r="F10" s="52">
        <v>22</v>
      </c>
      <c r="G10" s="52">
        <v>23</v>
      </c>
      <c r="H10" s="52">
        <v>25</v>
      </c>
      <c r="I10" s="52">
        <v>35</v>
      </c>
      <c r="J10" s="52">
        <v>23</v>
      </c>
      <c r="K10" s="52">
        <v>19</v>
      </c>
      <c r="L10" s="52">
        <v>26</v>
      </c>
      <c r="M10" s="52">
        <v>33</v>
      </c>
      <c r="N10" s="52">
        <v>21</v>
      </c>
      <c r="O10" s="52">
        <v>24</v>
      </c>
      <c r="P10" s="26">
        <f t="shared" si="1"/>
        <v>289</v>
      </c>
    </row>
    <row r="11" spans="1:16" ht="12.75">
      <c r="A11" s="264"/>
      <c r="B11" s="267"/>
      <c r="C11" s="39" t="s">
        <v>174</v>
      </c>
      <c r="D11" s="52">
        <v>14</v>
      </c>
      <c r="E11" s="52">
        <v>7</v>
      </c>
      <c r="F11" s="52">
        <v>21</v>
      </c>
      <c r="G11" s="52">
        <v>17</v>
      </c>
      <c r="H11" s="52">
        <v>24</v>
      </c>
      <c r="I11" s="52">
        <v>22</v>
      </c>
      <c r="J11" s="52">
        <v>19</v>
      </c>
      <c r="K11" s="52">
        <v>14</v>
      </c>
      <c r="L11" s="52">
        <v>18</v>
      </c>
      <c r="M11" s="52">
        <v>12</v>
      </c>
      <c r="N11" s="52">
        <v>25</v>
      </c>
      <c r="O11" s="52">
        <v>17</v>
      </c>
      <c r="P11" s="26">
        <f t="shared" si="1"/>
        <v>210</v>
      </c>
    </row>
    <row r="12" spans="1:16" ht="12.75">
      <c r="A12" s="264"/>
      <c r="B12" s="267"/>
      <c r="C12" s="39" t="s">
        <v>21</v>
      </c>
      <c r="D12" s="52">
        <v>10</v>
      </c>
      <c r="E12" s="52">
        <v>19</v>
      </c>
      <c r="F12" s="52">
        <v>10</v>
      </c>
      <c r="G12" s="52">
        <v>19</v>
      </c>
      <c r="H12" s="52">
        <v>22</v>
      </c>
      <c r="I12" s="52">
        <v>17</v>
      </c>
      <c r="J12" s="52">
        <v>12</v>
      </c>
      <c r="K12" s="52">
        <v>15</v>
      </c>
      <c r="L12" s="52">
        <v>18</v>
      </c>
      <c r="M12" s="52">
        <v>14</v>
      </c>
      <c r="N12" s="52">
        <v>9</v>
      </c>
      <c r="O12" s="52">
        <v>13</v>
      </c>
      <c r="P12" s="26">
        <f t="shared" si="1"/>
        <v>178</v>
      </c>
    </row>
    <row r="13" spans="1:16" ht="12.75">
      <c r="A13" s="264"/>
      <c r="B13" s="267"/>
      <c r="C13" s="39" t="s">
        <v>173</v>
      </c>
      <c r="D13" s="52">
        <v>11</v>
      </c>
      <c r="E13" s="52">
        <v>20</v>
      </c>
      <c r="F13" s="52">
        <v>27</v>
      </c>
      <c r="G13" s="52">
        <v>9</v>
      </c>
      <c r="H13" s="52">
        <v>16</v>
      </c>
      <c r="I13" s="52">
        <v>15</v>
      </c>
      <c r="J13" s="52">
        <v>14</v>
      </c>
      <c r="K13" s="52">
        <v>10</v>
      </c>
      <c r="L13" s="52">
        <v>14</v>
      </c>
      <c r="M13" s="52">
        <v>14</v>
      </c>
      <c r="N13" s="52">
        <v>13</v>
      </c>
      <c r="O13" s="52">
        <v>14</v>
      </c>
      <c r="P13" s="26">
        <f t="shared" si="1"/>
        <v>177</v>
      </c>
    </row>
    <row r="14" spans="1:16" ht="13.5" thickBot="1">
      <c r="A14" s="264"/>
      <c r="B14" s="267"/>
      <c r="C14" s="42" t="s">
        <v>22</v>
      </c>
      <c r="D14" s="53">
        <v>3</v>
      </c>
      <c r="E14" s="53">
        <v>11</v>
      </c>
      <c r="F14" s="53">
        <v>9</v>
      </c>
      <c r="G14" s="53">
        <v>9</v>
      </c>
      <c r="H14" s="53">
        <v>14</v>
      </c>
      <c r="I14" s="53">
        <v>5</v>
      </c>
      <c r="J14" s="53">
        <v>4</v>
      </c>
      <c r="K14" s="53">
        <v>6</v>
      </c>
      <c r="L14" s="53">
        <v>12</v>
      </c>
      <c r="M14" s="53">
        <v>11</v>
      </c>
      <c r="N14" s="53">
        <v>7</v>
      </c>
      <c r="O14" s="53">
        <v>8</v>
      </c>
      <c r="P14" s="28">
        <f t="shared" si="1"/>
        <v>99</v>
      </c>
    </row>
    <row r="15" spans="1:16" ht="21.75" thickBot="1">
      <c r="A15" s="264"/>
      <c r="B15" s="267"/>
      <c r="C15" s="44" t="s">
        <v>176</v>
      </c>
      <c r="D15" s="48">
        <f>SUM(D16:D24)</f>
        <v>89990</v>
      </c>
      <c r="E15" s="48">
        <f>SUM(E16:E24)</f>
        <v>91318</v>
      </c>
      <c r="F15" s="48">
        <f aca="true" t="shared" si="2" ref="F15:O15">SUM(F16:F24)</f>
        <v>85188</v>
      </c>
      <c r="G15" s="48">
        <f t="shared" si="2"/>
        <v>88383</v>
      </c>
      <c r="H15" s="48">
        <f t="shared" si="2"/>
        <v>76278</v>
      </c>
      <c r="I15" s="48">
        <f t="shared" si="2"/>
        <v>125413</v>
      </c>
      <c r="J15" s="48">
        <f t="shared" si="2"/>
        <v>58001</v>
      </c>
      <c r="K15" s="48">
        <f t="shared" si="2"/>
        <v>60999</v>
      </c>
      <c r="L15" s="48">
        <f t="shared" si="2"/>
        <v>65749</v>
      </c>
      <c r="M15" s="48">
        <f t="shared" si="2"/>
        <v>101777</v>
      </c>
      <c r="N15" s="48">
        <f t="shared" si="2"/>
        <v>240659</v>
      </c>
      <c r="O15" s="48">
        <f t="shared" si="2"/>
        <v>105788</v>
      </c>
      <c r="P15" s="30">
        <f t="shared" si="1"/>
        <v>1189543</v>
      </c>
    </row>
    <row r="16" spans="1:16" ht="12.75">
      <c r="A16" s="264"/>
      <c r="B16" s="267"/>
      <c r="C16" s="37" t="s">
        <v>17</v>
      </c>
      <c r="D16" s="50">
        <v>53038</v>
      </c>
      <c r="E16" s="50">
        <v>41416</v>
      </c>
      <c r="F16" s="50">
        <v>24577</v>
      </c>
      <c r="G16" s="50">
        <v>3428</v>
      </c>
      <c r="H16" s="50">
        <v>10077</v>
      </c>
      <c r="I16" s="50">
        <v>41874</v>
      </c>
      <c r="J16" s="50">
        <v>9278</v>
      </c>
      <c r="K16" s="50">
        <v>14558</v>
      </c>
      <c r="L16" s="50">
        <v>7264</v>
      </c>
      <c r="M16" s="50">
        <v>3243</v>
      </c>
      <c r="N16" s="50">
        <v>161756</v>
      </c>
      <c r="O16" s="50">
        <v>36330</v>
      </c>
      <c r="P16" s="51">
        <f t="shared" si="1"/>
        <v>406839</v>
      </c>
    </row>
    <row r="17" spans="1:16" ht="14.25" customHeight="1">
      <c r="A17" s="264"/>
      <c r="B17" s="267"/>
      <c r="C17" s="39" t="s">
        <v>170</v>
      </c>
      <c r="D17" s="52">
        <v>7465</v>
      </c>
      <c r="E17" s="52">
        <v>13019</v>
      </c>
      <c r="F17" s="52">
        <v>16861</v>
      </c>
      <c r="G17" s="52">
        <v>18814</v>
      </c>
      <c r="H17" s="52">
        <v>19081</v>
      </c>
      <c r="I17" s="52">
        <v>22313</v>
      </c>
      <c r="J17" s="52">
        <v>13329</v>
      </c>
      <c r="K17" s="52">
        <v>10084</v>
      </c>
      <c r="L17" s="52">
        <v>11413</v>
      </c>
      <c r="M17" s="52">
        <v>24195</v>
      </c>
      <c r="N17" s="52">
        <v>19856</v>
      </c>
      <c r="O17" s="52">
        <v>24013</v>
      </c>
      <c r="P17" s="26">
        <f t="shared" si="1"/>
        <v>200443</v>
      </c>
    </row>
    <row r="18" spans="1:16" ht="12.75">
      <c r="A18" s="264"/>
      <c r="B18" s="267"/>
      <c r="C18" s="41" t="s">
        <v>172</v>
      </c>
      <c r="D18" s="52">
        <v>10693</v>
      </c>
      <c r="E18" s="52">
        <v>18124</v>
      </c>
      <c r="F18" s="52">
        <v>16409</v>
      </c>
      <c r="G18" s="52">
        <v>7239</v>
      </c>
      <c r="H18" s="52">
        <v>10637</v>
      </c>
      <c r="I18" s="52">
        <v>33253</v>
      </c>
      <c r="J18" s="52">
        <v>14382</v>
      </c>
      <c r="K18" s="52">
        <v>7254</v>
      </c>
      <c r="L18" s="52">
        <v>13071</v>
      </c>
      <c r="M18" s="52">
        <v>26511</v>
      </c>
      <c r="N18" s="52">
        <v>12480</v>
      </c>
      <c r="O18" s="52">
        <v>21341</v>
      </c>
      <c r="P18" s="26">
        <f t="shared" si="1"/>
        <v>191394</v>
      </c>
    </row>
    <row r="19" spans="1:16" ht="12.75">
      <c r="A19" s="264"/>
      <c r="B19" s="267"/>
      <c r="C19" s="39" t="s">
        <v>171</v>
      </c>
      <c r="D19" s="52">
        <v>5779</v>
      </c>
      <c r="E19" s="52">
        <v>9315</v>
      </c>
      <c r="F19" s="52">
        <v>13139</v>
      </c>
      <c r="G19" s="52">
        <v>6036</v>
      </c>
      <c r="H19" s="52">
        <v>20501</v>
      </c>
      <c r="I19" s="52">
        <v>17689</v>
      </c>
      <c r="J19" s="52">
        <v>11905</v>
      </c>
      <c r="K19" s="52">
        <v>12001</v>
      </c>
      <c r="L19" s="52">
        <v>9219</v>
      </c>
      <c r="M19" s="52">
        <v>20526</v>
      </c>
      <c r="N19" s="52">
        <v>24547</v>
      </c>
      <c r="O19" s="52">
        <v>10564</v>
      </c>
      <c r="P19" s="26">
        <f t="shared" si="1"/>
        <v>161221</v>
      </c>
    </row>
    <row r="20" spans="1:16" ht="12.75">
      <c r="A20" s="264"/>
      <c r="B20" s="267"/>
      <c r="C20" s="39" t="s">
        <v>20</v>
      </c>
      <c r="D20" s="52">
        <v>1289</v>
      </c>
      <c r="E20" s="52">
        <v>2096</v>
      </c>
      <c r="F20" s="52">
        <v>4188</v>
      </c>
      <c r="G20" s="52">
        <v>38688</v>
      </c>
      <c r="H20" s="52">
        <v>4585</v>
      </c>
      <c r="I20" s="52">
        <v>3902</v>
      </c>
      <c r="J20" s="52">
        <v>2816</v>
      </c>
      <c r="K20" s="52">
        <v>1732</v>
      </c>
      <c r="L20" s="52">
        <v>1785</v>
      </c>
      <c r="M20" s="52">
        <v>8256</v>
      </c>
      <c r="N20" s="52">
        <v>3116</v>
      </c>
      <c r="O20" s="52">
        <v>4923</v>
      </c>
      <c r="P20" s="26">
        <f t="shared" si="1"/>
        <v>77376</v>
      </c>
    </row>
    <row r="21" spans="1:16" ht="12.75">
      <c r="A21" s="264"/>
      <c r="B21" s="267"/>
      <c r="C21" s="39" t="s">
        <v>21</v>
      </c>
      <c r="D21" s="52">
        <v>4777</v>
      </c>
      <c r="E21" s="52">
        <v>2320</v>
      </c>
      <c r="F21" s="52">
        <v>1634</v>
      </c>
      <c r="G21" s="52">
        <v>2859</v>
      </c>
      <c r="H21" s="52">
        <v>5243</v>
      </c>
      <c r="I21" s="52">
        <v>1458</v>
      </c>
      <c r="J21" s="52">
        <v>3535</v>
      </c>
      <c r="K21" s="52">
        <v>9514</v>
      </c>
      <c r="L21" s="52">
        <v>18954</v>
      </c>
      <c r="M21" s="52">
        <v>12400</v>
      </c>
      <c r="N21" s="52">
        <v>8088</v>
      </c>
      <c r="O21" s="52">
        <v>4346</v>
      </c>
      <c r="P21" s="26">
        <f t="shared" si="1"/>
        <v>75128</v>
      </c>
    </row>
    <row r="22" spans="1:16" ht="12.75">
      <c r="A22" s="264"/>
      <c r="B22" s="267"/>
      <c r="C22" s="39" t="s">
        <v>173</v>
      </c>
      <c r="D22" s="52">
        <v>1411</v>
      </c>
      <c r="E22" s="52">
        <v>2892</v>
      </c>
      <c r="F22" s="52">
        <v>4672</v>
      </c>
      <c r="G22" s="52">
        <v>3004</v>
      </c>
      <c r="H22" s="52">
        <v>1916</v>
      </c>
      <c r="I22" s="52">
        <v>1994</v>
      </c>
      <c r="J22" s="52">
        <v>1689</v>
      </c>
      <c r="K22" s="52">
        <v>1536</v>
      </c>
      <c r="L22" s="52">
        <v>1327</v>
      </c>
      <c r="M22" s="52">
        <v>2288</v>
      </c>
      <c r="N22" s="52">
        <v>1341</v>
      </c>
      <c r="O22" s="52">
        <v>2325</v>
      </c>
      <c r="P22" s="26">
        <f t="shared" si="1"/>
        <v>26395</v>
      </c>
    </row>
    <row r="23" spans="1:16" ht="12.75">
      <c r="A23" s="264"/>
      <c r="B23" s="267"/>
      <c r="C23" s="39" t="s">
        <v>22</v>
      </c>
      <c r="D23" s="52">
        <v>1303</v>
      </c>
      <c r="E23" s="52">
        <v>1284</v>
      </c>
      <c r="F23" s="52">
        <v>1566</v>
      </c>
      <c r="G23" s="52">
        <v>5804</v>
      </c>
      <c r="H23" s="52">
        <v>1623</v>
      </c>
      <c r="I23" s="52">
        <v>1158</v>
      </c>
      <c r="J23" s="52">
        <v>151</v>
      </c>
      <c r="K23" s="52">
        <v>2311</v>
      </c>
      <c r="L23" s="52">
        <v>891</v>
      </c>
      <c r="M23" s="52">
        <v>1890</v>
      </c>
      <c r="N23" s="52">
        <v>7075</v>
      </c>
      <c r="O23" s="52">
        <v>1083</v>
      </c>
      <c r="P23" s="26">
        <f t="shared" si="1"/>
        <v>26139</v>
      </c>
    </row>
    <row r="24" spans="1:16" ht="13.5" thickBot="1">
      <c r="A24" s="264"/>
      <c r="B24" s="268"/>
      <c r="C24" s="42" t="s">
        <v>174</v>
      </c>
      <c r="D24" s="53">
        <v>4235</v>
      </c>
      <c r="E24" s="53">
        <v>852</v>
      </c>
      <c r="F24" s="53">
        <v>2142</v>
      </c>
      <c r="G24" s="53">
        <v>2511</v>
      </c>
      <c r="H24" s="53">
        <v>2615</v>
      </c>
      <c r="I24" s="53">
        <v>1772</v>
      </c>
      <c r="J24" s="53">
        <v>916</v>
      </c>
      <c r="K24" s="53">
        <v>2009</v>
      </c>
      <c r="L24" s="53">
        <v>1825</v>
      </c>
      <c r="M24" s="53">
        <v>2468</v>
      </c>
      <c r="N24" s="53">
        <v>2400</v>
      </c>
      <c r="O24" s="53">
        <v>863</v>
      </c>
      <c r="P24" s="28">
        <f t="shared" si="1"/>
        <v>24608</v>
      </c>
    </row>
    <row r="25" spans="1:16" ht="21.75" customHeight="1" thickBot="1">
      <c r="A25" s="264"/>
      <c r="B25" s="269" t="s">
        <v>180</v>
      </c>
      <c r="C25" s="29" t="s">
        <v>169</v>
      </c>
      <c r="D25" s="48">
        <f>SUM(D26:D34)</f>
        <v>386</v>
      </c>
      <c r="E25" s="48">
        <f>SUM(E26:E33)</f>
        <v>298</v>
      </c>
      <c r="F25" s="48">
        <f aca="true" t="shared" si="3" ref="F25:O25">SUM(F26:F34)</f>
        <v>464</v>
      </c>
      <c r="G25" s="48">
        <f t="shared" si="3"/>
        <v>359</v>
      </c>
      <c r="H25" s="48">
        <f t="shared" si="3"/>
        <v>444</v>
      </c>
      <c r="I25" s="48">
        <f t="shared" si="3"/>
        <v>562</v>
      </c>
      <c r="J25" s="48">
        <f t="shared" si="3"/>
        <v>365</v>
      </c>
      <c r="K25" s="48">
        <f t="shared" si="3"/>
        <v>304</v>
      </c>
      <c r="L25" s="48">
        <f t="shared" si="3"/>
        <v>254</v>
      </c>
      <c r="M25" s="48">
        <f t="shared" si="3"/>
        <v>567</v>
      </c>
      <c r="N25" s="48">
        <f t="shared" si="3"/>
        <v>540</v>
      </c>
      <c r="O25" s="48">
        <f t="shared" si="3"/>
        <v>514</v>
      </c>
      <c r="P25" s="30">
        <f t="shared" si="1"/>
        <v>5057</v>
      </c>
    </row>
    <row r="26" spans="1:16" ht="13.5" customHeight="1">
      <c r="A26" s="264"/>
      <c r="B26" s="270"/>
      <c r="C26" s="37" t="s">
        <v>170</v>
      </c>
      <c r="D26" s="50">
        <f>39+31+37</f>
        <v>107</v>
      </c>
      <c r="E26" s="50">
        <f>15+33+29</f>
        <v>77</v>
      </c>
      <c r="F26" s="50">
        <f>10+31+33</f>
        <v>74</v>
      </c>
      <c r="G26" s="50">
        <f>13+32+27</f>
        <v>72</v>
      </c>
      <c r="H26" s="50">
        <f>25+42+34</f>
        <v>101</v>
      </c>
      <c r="I26" s="50">
        <f>32+52+21</f>
        <v>105</v>
      </c>
      <c r="J26" s="50">
        <f>9+46+30</f>
        <v>85</v>
      </c>
      <c r="K26" s="50">
        <f>36+23</f>
        <v>59</v>
      </c>
      <c r="L26" s="50">
        <v>43</v>
      </c>
      <c r="M26" s="50">
        <f>116+50+35</f>
        <v>201</v>
      </c>
      <c r="N26" s="50">
        <f>45+45+50</f>
        <v>140</v>
      </c>
      <c r="O26" s="50">
        <f>40+46+33</f>
        <v>119</v>
      </c>
      <c r="P26" s="51">
        <f t="shared" si="1"/>
        <v>1183</v>
      </c>
    </row>
    <row r="27" spans="1:16" ht="12.75">
      <c r="A27" s="264"/>
      <c r="B27" s="270"/>
      <c r="C27" s="41" t="s">
        <v>172</v>
      </c>
      <c r="D27" s="52">
        <f>16+40+24</f>
        <v>80</v>
      </c>
      <c r="E27" s="52">
        <f>14+45+14</f>
        <v>73</v>
      </c>
      <c r="F27" s="52">
        <f>11+60+35</f>
        <v>106</v>
      </c>
      <c r="G27" s="52">
        <f>34+26</f>
        <v>60</v>
      </c>
      <c r="H27" s="52">
        <f>19+47+22</f>
        <v>88</v>
      </c>
      <c r="I27" s="52">
        <f>35+67+29</f>
        <v>131</v>
      </c>
      <c r="J27" s="52">
        <f>8+61+27</f>
        <v>96</v>
      </c>
      <c r="K27" s="52">
        <f>45+9</f>
        <v>54</v>
      </c>
      <c r="L27" s="52">
        <f>41+1+16</f>
        <v>58</v>
      </c>
      <c r="M27" s="52">
        <f>74+36</f>
        <v>110</v>
      </c>
      <c r="N27" s="52">
        <f>12+38+47</f>
        <v>97</v>
      </c>
      <c r="O27" s="52">
        <f>48+37</f>
        <v>85</v>
      </c>
      <c r="P27" s="26">
        <f t="shared" si="1"/>
        <v>1038</v>
      </c>
    </row>
    <row r="28" spans="1:16" ht="12.75">
      <c r="A28" s="264"/>
      <c r="B28" s="270"/>
      <c r="C28" s="39" t="s">
        <v>171</v>
      </c>
      <c r="D28" s="52">
        <f>6+29+27</f>
        <v>62</v>
      </c>
      <c r="E28" s="52">
        <f>24+32</f>
        <v>56</v>
      </c>
      <c r="F28" s="52">
        <f>4+41+23</f>
        <v>68</v>
      </c>
      <c r="G28" s="52">
        <f>20+10</f>
        <v>30</v>
      </c>
      <c r="H28" s="52">
        <f>17+42+20</f>
        <v>79</v>
      </c>
      <c r="I28" s="52">
        <f>7+37+19</f>
        <v>63</v>
      </c>
      <c r="J28" s="52">
        <f>44+14</f>
        <v>58</v>
      </c>
      <c r="K28" s="52">
        <f>45+24</f>
        <v>69</v>
      </c>
      <c r="L28" s="52">
        <v>51</v>
      </c>
      <c r="M28" s="52">
        <f>55+16</f>
        <v>71</v>
      </c>
      <c r="N28" s="52">
        <f>18+38+39</f>
        <v>95</v>
      </c>
      <c r="O28" s="52">
        <f>17+41+43</f>
        <v>101</v>
      </c>
      <c r="P28" s="26">
        <f t="shared" si="1"/>
        <v>803</v>
      </c>
    </row>
    <row r="29" spans="1:16" ht="12.75">
      <c r="A29" s="264"/>
      <c r="B29" s="270"/>
      <c r="C29" s="39" t="s">
        <v>17</v>
      </c>
      <c r="D29" s="52">
        <f>26+10+9</f>
        <v>45</v>
      </c>
      <c r="E29" s="52">
        <f>19+8+1</f>
        <v>28</v>
      </c>
      <c r="F29" s="52">
        <v>47</v>
      </c>
      <c r="G29" s="52">
        <f>26+11</f>
        <v>37</v>
      </c>
      <c r="H29" s="52">
        <f>20+39+9</f>
        <v>68</v>
      </c>
      <c r="I29" s="52">
        <f>5+28+11</f>
        <v>44</v>
      </c>
      <c r="J29" s="52">
        <v>20</v>
      </c>
      <c r="K29" s="52">
        <v>26</v>
      </c>
      <c r="L29" s="52">
        <v>22</v>
      </c>
      <c r="M29" s="52">
        <v>41</v>
      </c>
      <c r="N29" s="52">
        <f>4+20+11</f>
        <v>35</v>
      </c>
      <c r="O29" s="52">
        <v>41</v>
      </c>
      <c r="P29" s="26">
        <f t="shared" si="1"/>
        <v>454</v>
      </c>
    </row>
    <row r="30" spans="1:16" ht="12.75">
      <c r="A30" s="264"/>
      <c r="B30" s="270"/>
      <c r="C30" s="39" t="s">
        <v>21</v>
      </c>
      <c r="D30" s="52">
        <f>9+7+4</f>
        <v>20</v>
      </c>
      <c r="E30" s="52">
        <v>17</v>
      </c>
      <c r="F30" s="52">
        <f>42+33+4</f>
        <v>79</v>
      </c>
      <c r="G30" s="52">
        <f>13+14+3</f>
        <v>30</v>
      </c>
      <c r="H30" s="52">
        <f>4+4+0</f>
        <v>8</v>
      </c>
      <c r="I30" s="52">
        <v>69</v>
      </c>
      <c r="J30" s="52">
        <v>31</v>
      </c>
      <c r="K30" s="52">
        <f>22+8+3</f>
        <v>33</v>
      </c>
      <c r="L30" s="52">
        <v>10</v>
      </c>
      <c r="M30" s="52">
        <f>13+8+5</f>
        <v>26</v>
      </c>
      <c r="N30" s="52">
        <f>33+18</f>
        <v>51</v>
      </c>
      <c r="O30" s="52">
        <f>29+7+30</f>
        <v>66</v>
      </c>
      <c r="P30" s="26">
        <f t="shared" si="1"/>
        <v>440</v>
      </c>
    </row>
    <row r="31" spans="1:16" ht="12.75">
      <c r="A31" s="264"/>
      <c r="B31" s="270"/>
      <c r="C31" s="39" t="s">
        <v>20</v>
      </c>
      <c r="D31" s="52">
        <v>23</v>
      </c>
      <c r="E31" s="52">
        <f>11+7</f>
        <v>18</v>
      </c>
      <c r="F31" s="52">
        <v>27</v>
      </c>
      <c r="G31" s="52">
        <f>17+11+50</f>
        <v>78</v>
      </c>
      <c r="H31" s="52">
        <f>9+13+12</f>
        <v>34</v>
      </c>
      <c r="I31" s="52">
        <f>13+15+11</f>
        <v>39</v>
      </c>
      <c r="J31" s="52">
        <v>12</v>
      </c>
      <c r="K31" s="52">
        <f>4+11+7</f>
        <v>22</v>
      </c>
      <c r="L31" s="52">
        <v>22</v>
      </c>
      <c r="M31" s="52">
        <f>8+26+17</f>
        <v>51</v>
      </c>
      <c r="N31" s="52">
        <f>19+8</f>
        <v>27</v>
      </c>
      <c r="O31" s="52">
        <f>6+11+23</f>
        <v>40</v>
      </c>
      <c r="P31" s="26">
        <f t="shared" si="1"/>
        <v>393</v>
      </c>
    </row>
    <row r="32" spans="1:16" ht="12.75">
      <c r="A32" s="264"/>
      <c r="B32" s="270"/>
      <c r="C32" s="39" t="s">
        <v>173</v>
      </c>
      <c r="D32" s="52">
        <v>27</v>
      </c>
      <c r="E32" s="52">
        <f>5+9</f>
        <v>14</v>
      </c>
      <c r="F32" s="52">
        <f>21+16</f>
        <v>37</v>
      </c>
      <c r="G32" s="52">
        <f>16+14</f>
        <v>30</v>
      </c>
      <c r="H32" s="52">
        <f>1+11+14</f>
        <v>26</v>
      </c>
      <c r="I32" s="52">
        <f>13+44</f>
        <v>57</v>
      </c>
      <c r="J32" s="52">
        <f>17+14</f>
        <v>31</v>
      </c>
      <c r="K32" s="52">
        <v>21</v>
      </c>
      <c r="L32" s="52">
        <v>28</v>
      </c>
      <c r="M32" s="52">
        <v>33</v>
      </c>
      <c r="N32" s="52">
        <f>17+31</f>
        <v>48</v>
      </c>
      <c r="O32" s="52">
        <v>17</v>
      </c>
      <c r="P32" s="26">
        <f t="shared" si="1"/>
        <v>369</v>
      </c>
    </row>
    <row r="33" spans="1:16" ht="12.75">
      <c r="A33" s="264"/>
      <c r="B33" s="270"/>
      <c r="C33" s="39" t="s">
        <v>174</v>
      </c>
      <c r="D33" s="52">
        <v>15</v>
      </c>
      <c r="E33" s="52">
        <f>10+5</f>
        <v>15</v>
      </c>
      <c r="F33" s="52">
        <f>1+11+5</f>
        <v>17</v>
      </c>
      <c r="G33" s="52">
        <v>16</v>
      </c>
      <c r="H33" s="52">
        <f>3+13+12</f>
        <v>28</v>
      </c>
      <c r="I33" s="52">
        <v>22</v>
      </c>
      <c r="J33" s="52">
        <v>25</v>
      </c>
      <c r="K33" s="52">
        <v>16</v>
      </c>
      <c r="L33" s="52">
        <f>18</f>
        <v>18</v>
      </c>
      <c r="M33" s="52">
        <v>14</v>
      </c>
      <c r="N33" s="52">
        <v>35</v>
      </c>
      <c r="O33" s="52">
        <v>26</v>
      </c>
      <c r="P33" s="26">
        <f t="shared" si="1"/>
        <v>247</v>
      </c>
    </row>
    <row r="34" spans="1:16" ht="13.5" thickBot="1">
      <c r="A34" s="264"/>
      <c r="B34" s="271"/>
      <c r="C34" s="42" t="s">
        <v>22</v>
      </c>
      <c r="D34" s="53">
        <v>7</v>
      </c>
      <c r="E34" s="27">
        <v>9</v>
      </c>
      <c r="F34" s="53">
        <f>6+3</f>
        <v>9</v>
      </c>
      <c r="G34" s="53">
        <v>6</v>
      </c>
      <c r="H34" s="53">
        <v>12</v>
      </c>
      <c r="I34" s="53">
        <v>32</v>
      </c>
      <c r="J34" s="53">
        <v>7</v>
      </c>
      <c r="K34" s="53">
        <v>4</v>
      </c>
      <c r="L34" s="53">
        <v>2</v>
      </c>
      <c r="M34" s="53">
        <v>20</v>
      </c>
      <c r="N34" s="53">
        <v>12</v>
      </c>
      <c r="O34" s="53">
        <v>19</v>
      </c>
      <c r="P34" s="28">
        <f t="shared" si="1"/>
        <v>139</v>
      </c>
    </row>
    <row r="35" spans="1:16" ht="21" customHeight="1" thickBot="1">
      <c r="A35" s="264"/>
      <c r="B35" s="269" t="s">
        <v>181</v>
      </c>
      <c r="C35" s="29" t="s">
        <v>169</v>
      </c>
      <c r="D35" s="48">
        <f aca="true" t="shared" si="4" ref="D35:O35">SUM(D36:D37)</f>
        <v>8</v>
      </c>
      <c r="E35" s="48">
        <f t="shared" si="4"/>
        <v>0</v>
      </c>
      <c r="F35" s="48">
        <f t="shared" si="4"/>
        <v>12</v>
      </c>
      <c r="G35" s="48">
        <f t="shared" si="4"/>
        <v>18</v>
      </c>
      <c r="H35" s="48">
        <f t="shared" si="4"/>
        <v>10</v>
      </c>
      <c r="I35" s="48">
        <f t="shared" si="4"/>
        <v>12</v>
      </c>
      <c r="J35" s="48">
        <f t="shared" si="4"/>
        <v>18</v>
      </c>
      <c r="K35" s="48">
        <f t="shared" si="4"/>
        <v>12</v>
      </c>
      <c r="L35" s="48">
        <f t="shared" si="4"/>
        <v>8</v>
      </c>
      <c r="M35" s="48">
        <f t="shared" si="4"/>
        <v>11</v>
      </c>
      <c r="N35" s="48">
        <f t="shared" si="4"/>
        <v>14</v>
      </c>
      <c r="O35" s="48">
        <f t="shared" si="4"/>
        <v>22</v>
      </c>
      <c r="P35" s="30">
        <f t="shared" si="1"/>
        <v>145</v>
      </c>
    </row>
    <row r="36" spans="1:16" ht="21" customHeight="1">
      <c r="A36" s="264"/>
      <c r="B36" s="272"/>
      <c r="C36" s="37" t="s">
        <v>21</v>
      </c>
      <c r="D36" s="54">
        <v>8</v>
      </c>
      <c r="E36" s="54">
        <v>0</v>
      </c>
      <c r="F36" s="54">
        <v>12</v>
      </c>
      <c r="G36" s="54">
        <v>17</v>
      </c>
      <c r="H36" s="54">
        <v>10</v>
      </c>
      <c r="I36" s="54">
        <v>12</v>
      </c>
      <c r="J36" s="54">
        <v>18</v>
      </c>
      <c r="K36" s="54">
        <v>10</v>
      </c>
      <c r="L36" s="54">
        <v>7</v>
      </c>
      <c r="M36" s="54">
        <v>11</v>
      </c>
      <c r="N36" s="54">
        <v>12</v>
      </c>
      <c r="O36" s="54">
        <v>19</v>
      </c>
      <c r="P36" s="71">
        <f t="shared" si="1"/>
        <v>136</v>
      </c>
    </row>
    <row r="37" spans="1:16" ht="21" customHeight="1" thickBot="1">
      <c r="A37" s="265"/>
      <c r="B37" s="273"/>
      <c r="C37" s="42" t="s">
        <v>20</v>
      </c>
      <c r="D37" s="55">
        <v>0</v>
      </c>
      <c r="E37" s="55">
        <v>0</v>
      </c>
      <c r="F37" s="55">
        <v>0</v>
      </c>
      <c r="G37" s="55">
        <v>1</v>
      </c>
      <c r="H37" s="55">
        <v>0</v>
      </c>
      <c r="I37" s="55">
        <v>0</v>
      </c>
      <c r="J37" s="55">
        <v>0</v>
      </c>
      <c r="K37" s="55">
        <v>2</v>
      </c>
      <c r="L37" s="55">
        <v>1</v>
      </c>
      <c r="M37" s="55">
        <v>0</v>
      </c>
      <c r="N37" s="55">
        <v>2</v>
      </c>
      <c r="O37" s="55">
        <v>3</v>
      </c>
      <c r="P37" s="72">
        <f t="shared" si="1"/>
        <v>9</v>
      </c>
    </row>
    <row r="38" spans="1:19" s="3" customFormat="1" ht="13.5" customHeight="1">
      <c r="A38" s="12" t="s">
        <v>168</v>
      </c>
      <c r="B38" s="6"/>
      <c r="C38" s="17"/>
      <c r="K38" s="3" t="s">
        <v>16</v>
      </c>
      <c r="R38"/>
      <c r="S38"/>
    </row>
    <row r="40" ht="12.75" customHeight="1"/>
  </sheetData>
  <sheetProtection/>
  <mergeCells count="5">
    <mergeCell ref="D3:P3"/>
    <mergeCell ref="A5:A37"/>
    <mergeCell ref="B5:B24"/>
    <mergeCell ref="B25:B34"/>
    <mergeCell ref="B35:B37"/>
  </mergeCells>
  <printOptions horizont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S35"/>
  <sheetViews>
    <sheetView zoomScalePageLayoutView="0" workbookViewId="0" topLeftCell="A1">
      <selection activeCell="A35" sqref="A35:IV35"/>
    </sheetView>
  </sheetViews>
  <sheetFormatPr defaultColWidth="9.140625" defaultRowHeight="12.75"/>
  <cols>
    <col min="1" max="1" width="3.00390625" style="56" customWidth="1"/>
    <col min="2" max="2" width="5.28125" style="56" customWidth="1"/>
    <col min="3" max="3" width="14.140625" style="56" customWidth="1"/>
    <col min="4" max="6" width="5.7109375" style="56" bestFit="1" customWidth="1"/>
    <col min="7" max="7" width="6.00390625" style="56" bestFit="1" customWidth="1"/>
    <col min="8" max="8" width="5.7109375" style="56" bestFit="1" customWidth="1"/>
    <col min="9" max="9" width="6.00390625" style="56" bestFit="1" customWidth="1"/>
    <col min="10" max="12" width="5.7109375" style="56" bestFit="1" customWidth="1"/>
    <col min="13" max="15" width="6.00390625" style="56" bestFit="1" customWidth="1"/>
    <col min="16" max="16" width="6.8515625" style="56" bestFit="1" customWidth="1"/>
    <col min="17" max="17" width="9.140625" style="56" customWidth="1"/>
    <col min="18" max="18" width="9.28125" style="56" bestFit="1" customWidth="1"/>
    <col min="19" max="16384" width="9.140625" style="56" customWidth="1"/>
  </cols>
  <sheetData>
    <row r="1" spans="1:19" s="2" customFormat="1" ht="19.5" customHeight="1">
      <c r="A1" s="4" t="s">
        <v>184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R1"/>
      <c r="S1"/>
    </row>
    <row r="2" ht="13.5" thickBot="1"/>
    <row r="3" spans="1:16" ht="13.5" thickBot="1">
      <c r="A3" s="2"/>
      <c r="B3" s="2"/>
      <c r="C3" s="19"/>
      <c r="D3" s="253">
        <v>2012</v>
      </c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</row>
    <row r="4" spans="1:16" ht="21.75" thickBot="1">
      <c r="A4" s="2"/>
      <c r="B4" s="2"/>
      <c r="C4" s="19"/>
      <c r="D4" s="111" t="s">
        <v>2</v>
      </c>
      <c r="E4" s="111" t="s">
        <v>3</v>
      </c>
      <c r="F4" s="111" t="s">
        <v>4</v>
      </c>
      <c r="G4" s="111" t="s">
        <v>5</v>
      </c>
      <c r="H4" s="111" t="s">
        <v>6</v>
      </c>
      <c r="I4" s="111" t="s">
        <v>7</v>
      </c>
      <c r="J4" s="111" t="s">
        <v>8</v>
      </c>
      <c r="K4" s="111" t="s">
        <v>9</v>
      </c>
      <c r="L4" s="111" t="s">
        <v>10</v>
      </c>
      <c r="M4" s="111" t="s">
        <v>11</v>
      </c>
      <c r="N4" s="111" t="s">
        <v>12</v>
      </c>
      <c r="O4" s="111" t="s">
        <v>13</v>
      </c>
      <c r="P4" s="111" t="s">
        <v>159</v>
      </c>
    </row>
    <row r="5" spans="1:16" ht="21.75" customHeight="1" thickBot="1">
      <c r="A5" s="263" t="s">
        <v>185</v>
      </c>
      <c r="B5" s="274" t="s">
        <v>186</v>
      </c>
      <c r="C5" s="29" t="s">
        <v>169</v>
      </c>
      <c r="D5" s="58">
        <f aca="true" t="shared" si="0" ref="D5:O5">SUM(D6:D14)</f>
        <v>21065</v>
      </c>
      <c r="E5" s="58">
        <f t="shared" si="0"/>
        <v>18632</v>
      </c>
      <c r="F5" s="58">
        <f t="shared" si="0"/>
        <v>22612</v>
      </c>
      <c r="G5" s="58">
        <f t="shared" si="0"/>
        <v>17877</v>
      </c>
      <c r="H5" s="58">
        <f t="shared" si="0"/>
        <v>25070</v>
      </c>
      <c r="I5" s="58">
        <f t="shared" si="0"/>
        <v>22919</v>
      </c>
      <c r="J5" s="58">
        <f t="shared" si="0"/>
        <v>19151</v>
      </c>
      <c r="K5" s="58">
        <f t="shared" si="0"/>
        <v>17656</v>
      </c>
      <c r="L5" s="58">
        <f t="shared" si="0"/>
        <v>19496</v>
      </c>
      <c r="M5" s="58">
        <f t="shared" si="0"/>
        <v>21966</v>
      </c>
      <c r="N5" s="58">
        <f t="shared" si="0"/>
        <v>21546</v>
      </c>
      <c r="O5" s="58">
        <f t="shared" si="0"/>
        <v>25580</v>
      </c>
      <c r="P5" s="59">
        <f aca="true" t="shared" si="1" ref="P5:P34">SUM(D5:O5)</f>
        <v>253570</v>
      </c>
    </row>
    <row r="6" spans="1:16" ht="23.25" thickBot="1">
      <c r="A6" s="264"/>
      <c r="B6" s="274"/>
      <c r="C6" s="37" t="s">
        <v>170</v>
      </c>
      <c r="D6" s="50">
        <v>4278</v>
      </c>
      <c r="E6" s="50">
        <v>4436</v>
      </c>
      <c r="F6" s="50">
        <v>4791</v>
      </c>
      <c r="G6" s="50">
        <v>3495</v>
      </c>
      <c r="H6" s="50">
        <v>5063</v>
      </c>
      <c r="I6" s="50">
        <v>4889</v>
      </c>
      <c r="J6" s="50">
        <v>4214</v>
      </c>
      <c r="K6" s="50">
        <v>3597</v>
      </c>
      <c r="L6" s="50">
        <v>4175</v>
      </c>
      <c r="M6" s="50">
        <v>4457</v>
      </c>
      <c r="N6" s="50">
        <v>4718</v>
      </c>
      <c r="O6" s="50">
        <v>5245</v>
      </c>
      <c r="P6" s="51">
        <f t="shared" si="1"/>
        <v>53358</v>
      </c>
    </row>
    <row r="7" spans="1:16" ht="13.5" thickBot="1">
      <c r="A7" s="264"/>
      <c r="B7" s="274"/>
      <c r="C7" s="41" t="s">
        <v>172</v>
      </c>
      <c r="D7" s="52">
        <v>3716</v>
      </c>
      <c r="E7" s="52">
        <v>3855</v>
      </c>
      <c r="F7" s="52">
        <v>4592</v>
      </c>
      <c r="G7" s="52">
        <v>2432</v>
      </c>
      <c r="H7" s="52">
        <v>2707</v>
      </c>
      <c r="I7" s="52">
        <v>3955</v>
      </c>
      <c r="J7" s="52">
        <v>2622</v>
      </c>
      <c r="K7" s="52">
        <v>2460</v>
      </c>
      <c r="L7" s="52">
        <v>2844</v>
      </c>
      <c r="M7" s="52">
        <v>3246</v>
      </c>
      <c r="N7" s="52">
        <v>3023</v>
      </c>
      <c r="O7" s="52">
        <v>3923</v>
      </c>
      <c r="P7" s="26">
        <f t="shared" si="1"/>
        <v>39375</v>
      </c>
    </row>
    <row r="8" spans="1:16" ht="13.5" thickBot="1">
      <c r="A8" s="264"/>
      <c r="B8" s="274"/>
      <c r="C8" s="39" t="s">
        <v>171</v>
      </c>
      <c r="D8" s="52">
        <v>2688</v>
      </c>
      <c r="E8" s="52">
        <v>2137</v>
      </c>
      <c r="F8" s="52">
        <v>2702</v>
      </c>
      <c r="G8" s="52">
        <v>2167</v>
      </c>
      <c r="H8" s="52">
        <v>2659</v>
      </c>
      <c r="I8" s="52">
        <v>2706</v>
      </c>
      <c r="J8" s="52">
        <v>2499</v>
      </c>
      <c r="K8" s="52">
        <v>2773</v>
      </c>
      <c r="L8" s="52">
        <v>1931</v>
      </c>
      <c r="M8" s="52">
        <v>2550</v>
      </c>
      <c r="N8" s="52">
        <v>3125</v>
      </c>
      <c r="O8" s="52">
        <v>3137</v>
      </c>
      <c r="P8" s="26">
        <f t="shared" si="1"/>
        <v>31074</v>
      </c>
    </row>
    <row r="9" spans="1:16" ht="13.5" thickBot="1">
      <c r="A9" s="264"/>
      <c r="B9" s="274"/>
      <c r="C9" s="39" t="s">
        <v>20</v>
      </c>
      <c r="D9" s="52">
        <v>2265</v>
      </c>
      <c r="E9" s="52">
        <v>1224</v>
      </c>
      <c r="F9" s="52">
        <v>1858</v>
      </c>
      <c r="G9" s="52">
        <v>2167</v>
      </c>
      <c r="H9" s="52">
        <v>5188</v>
      </c>
      <c r="I9" s="52">
        <v>2811</v>
      </c>
      <c r="J9" s="52">
        <v>1892</v>
      </c>
      <c r="K9" s="52">
        <v>1828</v>
      </c>
      <c r="L9" s="52">
        <v>2095</v>
      </c>
      <c r="M9" s="52">
        <v>2416</v>
      </c>
      <c r="N9" s="52">
        <v>2143</v>
      </c>
      <c r="O9" s="52">
        <v>2911</v>
      </c>
      <c r="P9" s="26">
        <f t="shared" si="1"/>
        <v>28798</v>
      </c>
    </row>
    <row r="10" spans="1:16" ht="13.5" thickBot="1">
      <c r="A10" s="264"/>
      <c r="B10" s="274"/>
      <c r="C10" s="39" t="s">
        <v>17</v>
      </c>
      <c r="D10" s="52">
        <v>1748</v>
      </c>
      <c r="E10" s="52">
        <v>1721</v>
      </c>
      <c r="F10" s="52">
        <v>2219</v>
      </c>
      <c r="G10" s="52">
        <v>1762</v>
      </c>
      <c r="H10" s="52">
        <v>3004</v>
      </c>
      <c r="I10" s="52">
        <v>2156</v>
      </c>
      <c r="J10" s="52">
        <v>1952</v>
      </c>
      <c r="K10" s="52">
        <v>1418</v>
      </c>
      <c r="L10" s="52">
        <v>1849</v>
      </c>
      <c r="M10" s="52">
        <v>1628</v>
      </c>
      <c r="N10" s="52">
        <v>1793</v>
      </c>
      <c r="O10" s="52">
        <v>2303</v>
      </c>
      <c r="P10" s="26">
        <f t="shared" si="1"/>
        <v>23553</v>
      </c>
    </row>
    <row r="11" spans="1:16" ht="13.5" thickBot="1">
      <c r="A11" s="264"/>
      <c r="B11" s="274"/>
      <c r="C11" s="39" t="s">
        <v>21</v>
      </c>
      <c r="D11" s="52">
        <v>1799</v>
      </c>
      <c r="E11" s="52">
        <v>1266</v>
      </c>
      <c r="F11" s="52">
        <v>2054</v>
      </c>
      <c r="G11" s="52">
        <v>1677</v>
      </c>
      <c r="H11" s="52">
        <v>1842</v>
      </c>
      <c r="I11" s="52">
        <v>1801</v>
      </c>
      <c r="J11" s="52">
        <v>1774</v>
      </c>
      <c r="K11" s="52">
        <v>1571</v>
      </c>
      <c r="L11" s="52">
        <v>1813</v>
      </c>
      <c r="M11" s="52">
        <v>2123</v>
      </c>
      <c r="N11" s="52">
        <v>2397</v>
      </c>
      <c r="O11" s="52">
        <v>2663</v>
      </c>
      <c r="P11" s="26">
        <f t="shared" si="1"/>
        <v>22780</v>
      </c>
    </row>
    <row r="12" spans="1:16" ht="13.5" thickBot="1">
      <c r="A12" s="264"/>
      <c r="B12" s="274"/>
      <c r="C12" s="39" t="s">
        <v>174</v>
      </c>
      <c r="D12" s="52">
        <v>1869</v>
      </c>
      <c r="E12" s="52">
        <v>1521</v>
      </c>
      <c r="F12" s="52">
        <v>1522</v>
      </c>
      <c r="G12" s="52">
        <v>1804</v>
      </c>
      <c r="H12" s="52">
        <v>1584</v>
      </c>
      <c r="I12" s="52">
        <v>2020</v>
      </c>
      <c r="J12" s="52">
        <v>1883</v>
      </c>
      <c r="K12" s="52">
        <v>1875</v>
      </c>
      <c r="L12" s="52">
        <v>1746</v>
      </c>
      <c r="M12" s="52">
        <v>1852</v>
      </c>
      <c r="N12" s="52">
        <v>1790</v>
      </c>
      <c r="O12" s="52">
        <v>1978</v>
      </c>
      <c r="P12" s="26">
        <f t="shared" si="1"/>
        <v>21444</v>
      </c>
    </row>
    <row r="13" spans="1:16" ht="13.5" thickBot="1">
      <c r="A13" s="264"/>
      <c r="B13" s="274"/>
      <c r="C13" s="39" t="s">
        <v>173</v>
      </c>
      <c r="D13" s="52">
        <v>1500</v>
      </c>
      <c r="E13" s="52">
        <v>1436</v>
      </c>
      <c r="F13" s="52">
        <v>1563</v>
      </c>
      <c r="G13" s="52">
        <v>1289</v>
      </c>
      <c r="H13" s="52">
        <v>1415</v>
      </c>
      <c r="I13" s="52">
        <v>1284</v>
      </c>
      <c r="J13" s="52">
        <v>1275</v>
      </c>
      <c r="K13" s="52">
        <v>950</v>
      </c>
      <c r="L13" s="52">
        <v>1522</v>
      </c>
      <c r="M13" s="52">
        <v>1482</v>
      </c>
      <c r="N13" s="52">
        <v>1420</v>
      </c>
      <c r="O13" s="52">
        <v>1512</v>
      </c>
      <c r="P13" s="26">
        <f t="shared" si="1"/>
        <v>16648</v>
      </c>
    </row>
    <row r="14" spans="1:16" ht="13.5" thickBot="1">
      <c r="A14" s="264"/>
      <c r="B14" s="274"/>
      <c r="C14" s="42" t="s">
        <v>22</v>
      </c>
      <c r="D14" s="53">
        <v>1202</v>
      </c>
      <c r="E14" s="53">
        <v>1036</v>
      </c>
      <c r="F14" s="53">
        <v>1311</v>
      </c>
      <c r="G14" s="53">
        <v>1084</v>
      </c>
      <c r="H14" s="53">
        <v>1608</v>
      </c>
      <c r="I14" s="53">
        <v>1297</v>
      </c>
      <c r="J14" s="53">
        <v>1040</v>
      </c>
      <c r="K14" s="53">
        <v>1184</v>
      </c>
      <c r="L14" s="53">
        <v>1521</v>
      </c>
      <c r="M14" s="53">
        <v>2212</v>
      </c>
      <c r="N14" s="53">
        <v>1137</v>
      </c>
      <c r="O14" s="53">
        <v>1908</v>
      </c>
      <c r="P14" s="28">
        <f t="shared" si="1"/>
        <v>16540</v>
      </c>
    </row>
    <row r="15" spans="1:16" ht="13.5" thickBot="1">
      <c r="A15" s="264"/>
      <c r="B15" s="275" t="s">
        <v>187</v>
      </c>
      <c r="C15" s="29" t="s">
        <v>169</v>
      </c>
      <c r="D15" s="60">
        <f>SUM(D16:D24)</f>
        <v>12688</v>
      </c>
      <c r="E15" s="60">
        <f aca="true" t="shared" si="2" ref="E15:O15">SUM(E16:E24)</f>
        <v>12646</v>
      </c>
      <c r="F15" s="60">
        <f t="shared" si="2"/>
        <v>14975</v>
      </c>
      <c r="G15" s="60">
        <f t="shared" si="2"/>
        <v>12194</v>
      </c>
      <c r="H15" s="60">
        <f t="shared" si="2"/>
        <v>15871</v>
      </c>
      <c r="I15" s="60">
        <f t="shared" si="2"/>
        <v>14063</v>
      </c>
      <c r="J15" s="60">
        <f t="shared" si="2"/>
        <v>12854</v>
      </c>
      <c r="K15" s="60">
        <f t="shared" si="2"/>
        <v>12531</v>
      </c>
      <c r="L15" s="60">
        <f t="shared" si="2"/>
        <v>13756</v>
      </c>
      <c r="M15" s="60">
        <f t="shared" si="2"/>
        <v>14711</v>
      </c>
      <c r="N15" s="60">
        <f t="shared" si="2"/>
        <v>13798</v>
      </c>
      <c r="O15" s="60">
        <f t="shared" si="2"/>
        <v>17624</v>
      </c>
      <c r="P15" s="61">
        <f t="shared" si="1"/>
        <v>167711</v>
      </c>
    </row>
    <row r="16" spans="1:16" ht="13.5" customHeight="1" thickBot="1">
      <c r="A16" s="264"/>
      <c r="B16" s="275"/>
      <c r="C16" s="37" t="s">
        <v>170</v>
      </c>
      <c r="D16" s="50">
        <v>3027</v>
      </c>
      <c r="E16" s="50">
        <v>3057</v>
      </c>
      <c r="F16" s="50">
        <v>3678</v>
      </c>
      <c r="G16" s="50">
        <v>2914</v>
      </c>
      <c r="H16" s="50">
        <v>3555</v>
      </c>
      <c r="I16" s="50">
        <v>3303</v>
      </c>
      <c r="J16" s="50">
        <v>3133</v>
      </c>
      <c r="K16" s="50">
        <v>3065</v>
      </c>
      <c r="L16" s="50">
        <v>3127</v>
      </c>
      <c r="M16" s="50">
        <v>3422</v>
      </c>
      <c r="N16" s="50">
        <v>3517</v>
      </c>
      <c r="O16" s="50">
        <v>4298</v>
      </c>
      <c r="P16" s="51">
        <f t="shared" si="1"/>
        <v>40096</v>
      </c>
    </row>
    <row r="17" spans="1:16" ht="15" customHeight="1" thickBot="1">
      <c r="A17" s="264"/>
      <c r="B17" s="275"/>
      <c r="C17" s="41" t="s">
        <v>172</v>
      </c>
      <c r="D17" s="52">
        <v>1767</v>
      </c>
      <c r="E17" s="52">
        <v>1877</v>
      </c>
      <c r="F17" s="52">
        <v>2160</v>
      </c>
      <c r="G17" s="52">
        <v>1641</v>
      </c>
      <c r="H17" s="52">
        <v>2586</v>
      </c>
      <c r="I17" s="52">
        <v>2120</v>
      </c>
      <c r="J17" s="52">
        <v>1867</v>
      </c>
      <c r="K17" s="52">
        <v>1817</v>
      </c>
      <c r="L17" s="52">
        <v>1897</v>
      </c>
      <c r="M17" s="52">
        <v>2209</v>
      </c>
      <c r="N17" s="52">
        <v>1963</v>
      </c>
      <c r="O17" s="52">
        <v>2627</v>
      </c>
      <c r="P17" s="26">
        <f t="shared" si="1"/>
        <v>24531</v>
      </c>
    </row>
    <row r="18" spans="1:16" ht="13.5" thickBot="1">
      <c r="A18" s="264"/>
      <c r="B18" s="275"/>
      <c r="C18" s="39" t="s">
        <v>171</v>
      </c>
      <c r="D18" s="52">
        <v>1591</v>
      </c>
      <c r="E18" s="52">
        <v>1523</v>
      </c>
      <c r="F18" s="52">
        <v>1871</v>
      </c>
      <c r="G18" s="52">
        <v>1422</v>
      </c>
      <c r="H18" s="52">
        <v>1843</v>
      </c>
      <c r="I18" s="52">
        <v>1799</v>
      </c>
      <c r="J18" s="52">
        <v>1657</v>
      </c>
      <c r="K18" s="52">
        <v>1642</v>
      </c>
      <c r="L18" s="52">
        <v>1797</v>
      </c>
      <c r="M18" s="52">
        <v>2105</v>
      </c>
      <c r="N18" s="52">
        <v>1745</v>
      </c>
      <c r="O18" s="52">
        <v>2004</v>
      </c>
      <c r="P18" s="26">
        <f t="shared" si="1"/>
        <v>20999</v>
      </c>
    </row>
    <row r="19" spans="1:16" ht="13.5" thickBot="1">
      <c r="A19" s="264"/>
      <c r="B19" s="275"/>
      <c r="C19" s="39" t="s">
        <v>21</v>
      </c>
      <c r="D19" s="52">
        <v>1139</v>
      </c>
      <c r="E19" s="52">
        <v>1459</v>
      </c>
      <c r="F19" s="52">
        <v>1323</v>
      </c>
      <c r="G19" s="52">
        <v>1081</v>
      </c>
      <c r="H19" s="52">
        <v>1234</v>
      </c>
      <c r="I19" s="52">
        <v>1283</v>
      </c>
      <c r="J19" s="52">
        <v>1180</v>
      </c>
      <c r="K19" s="52">
        <v>1113</v>
      </c>
      <c r="L19" s="52">
        <v>1252</v>
      </c>
      <c r="M19" s="52">
        <v>1244</v>
      </c>
      <c r="N19" s="52">
        <v>1211</v>
      </c>
      <c r="O19" s="52">
        <v>1891</v>
      </c>
      <c r="P19" s="26">
        <f t="shared" si="1"/>
        <v>15410</v>
      </c>
    </row>
    <row r="20" spans="1:16" ht="13.5" thickBot="1">
      <c r="A20" s="264"/>
      <c r="B20" s="275"/>
      <c r="C20" s="39" t="s">
        <v>17</v>
      </c>
      <c r="D20" s="52">
        <v>1097</v>
      </c>
      <c r="E20" s="52">
        <v>1113</v>
      </c>
      <c r="F20" s="52">
        <v>1391</v>
      </c>
      <c r="G20" s="52">
        <v>1187</v>
      </c>
      <c r="H20" s="52">
        <v>1446</v>
      </c>
      <c r="I20" s="52">
        <v>1306</v>
      </c>
      <c r="J20" s="52">
        <v>1140</v>
      </c>
      <c r="K20" s="52">
        <v>1196</v>
      </c>
      <c r="L20" s="52">
        <v>1214</v>
      </c>
      <c r="M20" s="52">
        <v>1167</v>
      </c>
      <c r="N20" s="52">
        <v>1250</v>
      </c>
      <c r="O20" s="52">
        <v>1697</v>
      </c>
      <c r="P20" s="26">
        <f t="shared" si="1"/>
        <v>15204</v>
      </c>
    </row>
    <row r="21" spans="1:16" ht="13.5" thickBot="1">
      <c r="A21" s="264"/>
      <c r="B21" s="275"/>
      <c r="C21" s="39" t="s">
        <v>20</v>
      </c>
      <c r="D21" s="52">
        <v>1107</v>
      </c>
      <c r="E21" s="52">
        <v>744</v>
      </c>
      <c r="F21" s="52">
        <v>1069</v>
      </c>
      <c r="G21" s="52">
        <v>1187</v>
      </c>
      <c r="H21" s="52">
        <v>2201</v>
      </c>
      <c r="I21" s="52">
        <v>1184</v>
      </c>
      <c r="J21" s="52">
        <v>1165</v>
      </c>
      <c r="K21" s="52">
        <v>1139</v>
      </c>
      <c r="L21" s="52">
        <v>1256</v>
      </c>
      <c r="M21" s="52">
        <v>1319</v>
      </c>
      <c r="N21" s="52">
        <v>1155</v>
      </c>
      <c r="O21" s="52">
        <v>1514</v>
      </c>
      <c r="P21" s="26">
        <f t="shared" si="1"/>
        <v>15040</v>
      </c>
    </row>
    <row r="22" spans="1:16" ht="13.5" thickBot="1">
      <c r="A22" s="264"/>
      <c r="B22" s="275"/>
      <c r="C22" s="39" t="s">
        <v>22</v>
      </c>
      <c r="D22" s="52">
        <v>888</v>
      </c>
      <c r="E22" s="52">
        <v>970</v>
      </c>
      <c r="F22" s="52">
        <v>1097</v>
      </c>
      <c r="G22" s="52">
        <v>952</v>
      </c>
      <c r="H22" s="52">
        <v>1107</v>
      </c>
      <c r="I22" s="52">
        <v>1099</v>
      </c>
      <c r="J22" s="52">
        <v>897</v>
      </c>
      <c r="K22" s="52">
        <v>959</v>
      </c>
      <c r="L22" s="52">
        <v>1184</v>
      </c>
      <c r="M22" s="52">
        <v>1179</v>
      </c>
      <c r="N22" s="52">
        <v>922</v>
      </c>
      <c r="O22" s="52">
        <v>1328</v>
      </c>
      <c r="P22" s="26">
        <f t="shared" si="1"/>
        <v>12582</v>
      </c>
    </row>
    <row r="23" spans="1:18" ht="13.5" thickBot="1">
      <c r="A23" s="264"/>
      <c r="B23" s="275"/>
      <c r="C23" s="39" t="s">
        <v>173</v>
      </c>
      <c r="D23" s="52">
        <v>1103</v>
      </c>
      <c r="E23" s="52">
        <v>1070</v>
      </c>
      <c r="F23" s="52">
        <v>1118</v>
      </c>
      <c r="G23" s="52">
        <v>953</v>
      </c>
      <c r="H23" s="52">
        <v>965</v>
      </c>
      <c r="I23" s="52">
        <v>1043</v>
      </c>
      <c r="J23" s="52">
        <v>965</v>
      </c>
      <c r="K23" s="52">
        <v>709</v>
      </c>
      <c r="L23" s="52">
        <v>1011</v>
      </c>
      <c r="M23" s="52">
        <v>1018</v>
      </c>
      <c r="N23" s="52">
        <v>975</v>
      </c>
      <c r="O23" s="52">
        <v>1071</v>
      </c>
      <c r="P23" s="26">
        <f t="shared" si="1"/>
        <v>12001</v>
      </c>
      <c r="R23" s="239"/>
    </row>
    <row r="24" spans="1:16" ht="13.5" thickBot="1">
      <c r="A24" s="264"/>
      <c r="B24" s="275"/>
      <c r="C24" s="42" t="s">
        <v>174</v>
      </c>
      <c r="D24" s="53">
        <v>969</v>
      </c>
      <c r="E24" s="53">
        <v>833</v>
      </c>
      <c r="F24" s="53">
        <v>1268</v>
      </c>
      <c r="G24" s="53">
        <v>857</v>
      </c>
      <c r="H24" s="53">
        <v>934</v>
      </c>
      <c r="I24" s="53">
        <v>926</v>
      </c>
      <c r="J24" s="53">
        <v>850</v>
      </c>
      <c r="K24" s="53">
        <v>891</v>
      </c>
      <c r="L24" s="53">
        <v>1018</v>
      </c>
      <c r="M24" s="53">
        <v>1048</v>
      </c>
      <c r="N24" s="53">
        <v>1060</v>
      </c>
      <c r="O24" s="53">
        <v>1194</v>
      </c>
      <c r="P24" s="28">
        <f t="shared" si="1"/>
        <v>11848</v>
      </c>
    </row>
    <row r="25" spans="1:16" ht="13.5" thickBot="1">
      <c r="A25" s="264"/>
      <c r="B25" s="275" t="s">
        <v>188</v>
      </c>
      <c r="C25" s="29" t="s">
        <v>169</v>
      </c>
      <c r="D25" s="60">
        <f>SUM(D26:D34)</f>
        <v>688</v>
      </c>
      <c r="E25" s="60">
        <f aca="true" t="shared" si="3" ref="E25:O25">SUM(E26:E34)</f>
        <v>537</v>
      </c>
      <c r="F25" s="60">
        <f t="shared" si="3"/>
        <v>806</v>
      </c>
      <c r="G25" s="60">
        <f t="shared" si="3"/>
        <v>547</v>
      </c>
      <c r="H25" s="60">
        <f t="shared" si="3"/>
        <v>730</v>
      </c>
      <c r="I25" s="60">
        <f t="shared" si="3"/>
        <v>553</v>
      </c>
      <c r="J25" s="60">
        <f t="shared" si="3"/>
        <v>707</v>
      </c>
      <c r="K25" s="60">
        <f t="shared" si="3"/>
        <v>610</v>
      </c>
      <c r="L25" s="60">
        <f t="shared" si="3"/>
        <v>511</v>
      </c>
      <c r="M25" s="60">
        <f t="shared" si="3"/>
        <v>467</v>
      </c>
      <c r="N25" s="60">
        <f t="shared" si="3"/>
        <v>603</v>
      </c>
      <c r="O25" s="60">
        <f t="shared" si="3"/>
        <v>607</v>
      </c>
      <c r="P25" s="61">
        <f t="shared" si="1"/>
        <v>7366</v>
      </c>
    </row>
    <row r="26" spans="1:16" ht="14.25" customHeight="1" thickBot="1">
      <c r="A26" s="264"/>
      <c r="B26" s="275"/>
      <c r="C26" s="37" t="s">
        <v>170</v>
      </c>
      <c r="D26" s="50">
        <v>127</v>
      </c>
      <c r="E26" s="50">
        <v>153</v>
      </c>
      <c r="F26" s="50">
        <v>165</v>
      </c>
      <c r="G26" s="50">
        <v>105</v>
      </c>
      <c r="H26" s="50">
        <v>169</v>
      </c>
      <c r="I26" s="50">
        <v>65</v>
      </c>
      <c r="J26" s="50">
        <v>101</v>
      </c>
      <c r="K26" s="50">
        <v>138</v>
      </c>
      <c r="L26" s="50">
        <v>113</v>
      </c>
      <c r="M26" s="50">
        <v>96</v>
      </c>
      <c r="N26" s="50">
        <v>88</v>
      </c>
      <c r="O26" s="50">
        <v>92</v>
      </c>
      <c r="P26" s="51">
        <f t="shared" si="1"/>
        <v>1412</v>
      </c>
    </row>
    <row r="27" spans="1:16" ht="13.5" thickBot="1">
      <c r="A27" s="264"/>
      <c r="B27" s="275"/>
      <c r="C27" s="39" t="s">
        <v>20</v>
      </c>
      <c r="D27" s="52">
        <v>124</v>
      </c>
      <c r="E27" s="52">
        <v>69</v>
      </c>
      <c r="F27" s="52">
        <v>118</v>
      </c>
      <c r="G27" s="52">
        <v>64</v>
      </c>
      <c r="H27" s="52">
        <v>73</v>
      </c>
      <c r="I27" s="52">
        <v>115</v>
      </c>
      <c r="J27" s="52">
        <v>151</v>
      </c>
      <c r="K27" s="52">
        <v>117</v>
      </c>
      <c r="L27" s="52">
        <v>79</v>
      </c>
      <c r="M27" s="52">
        <v>119</v>
      </c>
      <c r="N27" s="52">
        <v>133</v>
      </c>
      <c r="O27" s="52">
        <v>102</v>
      </c>
      <c r="P27" s="26">
        <f t="shared" si="1"/>
        <v>1264</v>
      </c>
    </row>
    <row r="28" spans="1:16" ht="13.5" thickBot="1">
      <c r="A28" s="264"/>
      <c r="B28" s="275"/>
      <c r="C28" s="39" t="s">
        <v>21</v>
      </c>
      <c r="D28" s="52">
        <v>75</v>
      </c>
      <c r="E28" s="52">
        <v>68</v>
      </c>
      <c r="F28" s="52">
        <v>155</v>
      </c>
      <c r="G28" s="52">
        <v>86</v>
      </c>
      <c r="H28" s="52">
        <v>73</v>
      </c>
      <c r="I28" s="52">
        <v>84</v>
      </c>
      <c r="J28" s="52">
        <v>113</v>
      </c>
      <c r="K28" s="52">
        <v>103</v>
      </c>
      <c r="L28" s="52">
        <v>102</v>
      </c>
      <c r="M28" s="52">
        <v>46</v>
      </c>
      <c r="N28" s="52">
        <v>57</v>
      </c>
      <c r="O28" s="52">
        <v>100</v>
      </c>
      <c r="P28" s="26">
        <f t="shared" si="1"/>
        <v>1062</v>
      </c>
    </row>
    <row r="29" spans="1:16" ht="13.5" thickBot="1">
      <c r="A29" s="264"/>
      <c r="B29" s="275"/>
      <c r="C29" s="39" t="s">
        <v>174</v>
      </c>
      <c r="D29" s="52">
        <v>83</v>
      </c>
      <c r="E29" s="52">
        <v>43</v>
      </c>
      <c r="F29" s="52">
        <v>38</v>
      </c>
      <c r="G29" s="52">
        <v>100</v>
      </c>
      <c r="H29" s="52">
        <v>156</v>
      </c>
      <c r="I29" s="52">
        <v>71</v>
      </c>
      <c r="J29" s="52">
        <v>85</v>
      </c>
      <c r="K29" s="52">
        <v>72</v>
      </c>
      <c r="L29" s="52">
        <v>82</v>
      </c>
      <c r="M29" s="52">
        <v>65</v>
      </c>
      <c r="N29" s="52">
        <v>99</v>
      </c>
      <c r="O29" s="52">
        <v>115</v>
      </c>
      <c r="P29" s="26">
        <f t="shared" si="1"/>
        <v>1009</v>
      </c>
    </row>
    <row r="30" spans="1:16" ht="13.5" thickBot="1">
      <c r="A30" s="264"/>
      <c r="B30" s="275"/>
      <c r="C30" s="39" t="s">
        <v>171</v>
      </c>
      <c r="D30" s="52">
        <v>50</v>
      </c>
      <c r="E30" s="52">
        <v>64</v>
      </c>
      <c r="F30" s="52">
        <v>143</v>
      </c>
      <c r="G30" s="52">
        <v>64</v>
      </c>
      <c r="H30" s="52">
        <v>89</v>
      </c>
      <c r="I30" s="52">
        <v>50</v>
      </c>
      <c r="J30" s="52">
        <v>66</v>
      </c>
      <c r="K30" s="52">
        <v>42</v>
      </c>
      <c r="L30" s="52">
        <v>40</v>
      </c>
      <c r="M30" s="52">
        <v>29</v>
      </c>
      <c r="N30" s="52">
        <v>87</v>
      </c>
      <c r="O30" s="52">
        <v>72</v>
      </c>
      <c r="P30" s="26">
        <f t="shared" si="1"/>
        <v>796</v>
      </c>
    </row>
    <row r="31" spans="1:16" ht="13.5" thickBot="1">
      <c r="A31" s="264"/>
      <c r="B31" s="275"/>
      <c r="C31" s="39" t="s">
        <v>173</v>
      </c>
      <c r="D31" s="52">
        <v>84</v>
      </c>
      <c r="E31" s="52">
        <v>57</v>
      </c>
      <c r="F31" s="52">
        <v>55</v>
      </c>
      <c r="G31" s="52">
        <v>52</v>
      </c>
      <c r="H31" s="52">
        <v>49</v>
      </c>
      <c r="I31" s="52">
        <v>41</v>
      </c>
      <c r="J31" s="52">
        <v>63</v>
      </c>
      <c r="K31" s="52">
        <v>43</v>
      </c>
      <c r="L31" s="52">
        <v>25</v>
      </c>
      <c r="M31" s="52">
        <v>33</v>
      </c>
      <c r="N31" s="52">
        <v>53</v>
      </c>
      <c r="O31" s="52">
        <v>50</v>
      </c>
      <c r="P31" s="26">
        <f t="shared" si="1"/>
        <v>605</v>
      </c>
    </row>
    <row r="32" spans="1:16" ht="13.5" thickBot="1">
      <c r="A32" s="264"/>
      <c r="B32" s="275"/>
      <c r="C32" s="39" t="s">
        <v>22</v>
      </c>
      <c r="D32" s="52">
        <v>71</v>
      </c>
      <c r="E32" s="52">
        <v>32</v>
      </c>
      <c r="F32" s="52">
        <v>51</v>
      </c>
      <c r="G32" s="52">
        <v>28</v>
      </c>
      <c r="H32" s="52">
        <v>16</v>
      </c>
      <c r="I32" s="52">
        <v>41</v>
      </c>
      <c r="J32" s="52">
        <v>27</v>
      </c>
      <c r="K32" s="52">
        <v>25</v>
      </c>
      <c r="L32" s="52">
        <v>26</v>
      </c>
      <c r="M32" s="52">
        <v>34</v>
      </c>
      <c r="N32" s="52">
        <v>32</v>
      </c>
      <c r="O32" s="52">
        <v>31</v>
      </c>
      <c r="P32" s="26">
        <f t="shared" si="1"/>
        <v>414</v>
      </c>
    </row>
    <row r="33" spans="1:16" ht="13.5" thickBot="1">
      <c r="A33" s="264"/>
      <c r="B33" s="275"/>
      <c r="C33" s="41" t="s">
        <v>172</v>
      </c>
      <c r="D33" s="52">
        <v>41</v>
      </c>
      <c r="E33" s="52">
        <v>36</v>
      </c>
      <c r="F33" s="52">
        <v>41</v>
      </c>
      <c r="G33" s="52">
        <v>33</v>
      </c>
      <c r="H33" s="52">
        <v>29</v>
      </c>
      <c r="I33" s="52">
        <v>49</v>
      </c>
      <c r="J33" s="52">
        <v>50</v>
      </c>
      <c r="K33" s="52">
        <v>23</v>
      </c>
      <c r="L33" s="52">
        <v>22</v>
      </c>
      <c r="M33" s="52">
        <v>31</v>
      </c>
      <c r="N33" s="52">
        <v>27</v>
      </c>
      <c r="O33" s="52">
        <v>21</v>
      </c>
      <c r="P33" s="26">
        <f t="shared" si="1"/>
        <v>403</v>
      </c>
    </row>
    <row r="34" spans="1:16" ht="13.5" thickBot="1">
      <c r="A34" s="265"/>
      <c r="B34" s="275"/>
      <c r="C34" s="42" t="s">
        <v>17</v>
      </c>
      <c r="D34" s="53">
        <v>33</v>
      </c>
      <c r="E34" s="53">
        <v>15</v>
      </c>
      <c r="F34" s="53">
        <v>40</v>
      </c>
      <c r="G34" s="53">
        <v>15</v>
      </c>
      <c r="H34" s="53">
        <v>76</v>
      </c>
      <c r="I34" s="53">
        <v>37</v>
      </c>
      <c r="J34" s="53">
        <v>51</v>
      </c>
      <c r="K34" s="53">
        <v>47</v>
      </c>
      <c r="L34" s="53">
        <v>22</v>
      </c>
      <c r="M34" s="53">
        <v>14</v>
      </c>
      <c r="N34" s="53">
        <v>27</v>
      </c>
      <c r="O34" s="53">
        <v>24</v>
      </c>
      <c r="P34" s="28">
        <f t="shared" si="1"/>
        <v>401</v>
      </c>
    </row>
    <row r="35" spans="1:19" s="3" customFormat="1" ht="13.5" customHeight="1">
      <c r="A35" s="12" t="s">
        <v>168</v>
      </c>
      <c r="B35" s="6"/>
      <c r="C35" s="17"/>
      <c r="K35" s="3" t="s">
        <v>16</v>
      </c>
      <c r="R35"/>
      <c r="S35"/>
    </row>
  </sheetData>
  <sheetProtection/>
  <mergeCells count="5">
    <mergeCell ref="D3:P3"/>
    <mergeCell ref="A5:A34"/>
    <mergeCell ref="B5:B14"/>
    <mergeCell ref="B15:B24"/>
    <mergeCell ref="B25:B34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S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56" customWidth="1"/>
    <col min="2" max="2" width="3.8515625" style="56" customWidth="1"/>
    <col min="3" max="3" width="14.140625" style="56" customWidth="1"/>
    <col min="4" max="4" width="6.8515625" style="56" bestFit="1" customWidth="1"/>
    <col min="5" max="15" width="6.28125" style="56" customWidth="1"/>
    <col min="16" max="16" width="6.8515625" style="56" bestFit="1" customWidth="1"/>
    <col min="17" max="16384" width="9.140625" style="56" customWidth="1"/>
  </cols>
  <sheetData>
    <row r="1" spans="1:19" s="2" customFormat="1" ht="19.5" customHeight="1">
      <c r="A1" s="4" t="s">
        <v>183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R1"/>
      <c r="S1"/>
    </row>
    <row r="2" ht="13.5" thickBot="1"/>
    <row r="3" spans="1:16" ht="13.5" thickBot="1">
      <c r="A3" s="2"/>
      <c r="B3" s="2"/>
      <c r="C3" s="19"/>
      <c r="D3" s="253">
        <v>2012</v>
      </c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</row>
    <row r="4" spans="1:16" ht="21.75" thickBot="1">
      <c r="A4" s="2"/>
      <c r="B4" s="2"/>
      <c r="C4" s="19"/>
      <c r="D4" s="111" t="s">
        <v>2</v>
      </c>
      <c r="E4" s="111" t="s">
        <v>3</v>
      </c>
      <c r="F4" s="111" t="s">
        <v>4</v>
      </c>
      <c r="G4" s="111" t="s">
        <v>5</v>
      </c>
      <c r="H4" s="111" t="s">
        <v>6</v>
      </c>
      <c r="I4" s="111" t="s">
        <v>7</v>
      </c>
      <c r="J4" s="111" t="s">
        <v>8</v>
      </c>
      <c r="K4" s="111" t="s">
        <v>9</v>
      </c>
      <c r="L4" s="111" t="s">
        <v>10</v>
      </c>
      <c r="M4" s="111" t="s">
        <v>11</v>
      </c>
      <c r="N4" s="111" t="s">
        <v>12</v>
      </c>
      <c r="O4" s="111" t="s">
        <v>13</v>
      </c>
      <c r="P4" s="111" t="s">
        <v>159</v>
      </c>
    </row>
    <row r="5" spans="1:16" ht="21.75" thickBot="1">
      <c r="A5" s="263" t="s">
        <v>189</v>
      </c>
      <c r="B5" s="269" t="s">
        <v>190</v>
      </c>
      <c r="C5" s="44" t="s">
        <v>176</v>
      </c>
      <c r="D5" s="58">
        <f aca="true" t="shared" si="0" ref="D5:O5">SUM(D6:D14)</f>
        <v>72578</v>
      </c>
      <c r="E5" s="58">
        <f t="shared" si="0"/>
        <v>69226</v>
      </c>
      <c r="F5" s="58">
        <f t="shared" si="0"/>
        <v>79035</v>
      </c>
      <c r="G5" s="58">
        <f t="shared" si="0"/>
        <v>63298</v>
      </c>
      <c r="H5" s="58">
        <f t="shared" si="0"/>
        <v>70658</v>
      </c>
      <c r="I5" s="58">
        <f t="shared" si="0"/>
        <v>84618</v>
      </c>
      <c r="J5" s="58">
        <f t="shared" si="0"/>
        <v>70294</v>
      </c>
      <c r="K5" s="58">
        <f t="shared" si="0"/>
        <v>63552</v>
      </c>
      <c r="L5" s="58">
        <f t="shared" si="0"/>
        <v>82850</v>
      </c>
      <c r="M5" s="58">
        <f t="shared" si="0"/>
        <v>85681</v>
      </c>
      <c r="N5" s="58">
        <f t="shared" si="0"/>
        <v>71563</v>
      </c>
      <c r="O5" s="58">
        <f t="shared" si="0"/>
        <v>115762</v>
      </c>
      <c r="P5" s="59">
        <f aca="true" t="shared" si="1" ref="P5:P44">SUM(D5:O5)</f>
        <v>929115</v>
      </c>
    </row>
    <row r="6" spans="1:16" ht="12.75">
      <c r="A6" s="264"/>
      <c r="B6" s="272"/>
      <c r="C6" s="37" t="s">
        <v>17</v>
      </c>
      <c r="D6" s="50">
        <v>21546</v>
      </c>
      <c r="E6" s="50">
        <v>23043</v>
      </c>
      <c r="F6" s="50">
        <v>21723</v>
      </c>
      <c r="G6" s="50">
        <v>21337</v>
      </c>
      <c r="H6" s="50">
        <v>24825</v>
      </c>
      <c r="I6" s="50">
        <v>31541</v>
      </c>
      <c r="J6" s="50">
        <v>21139</v>
      </c>
      <c r="K6" s="50">
        <v>14992</v>
      </c>
      <c r="L6" s="50">
        <v>25726</v>
      </c>
      <c r="M6" s="50">
        <v>28314</v>
      </c>
      <c r="N6" s="50">
        <v>20323</v>
      </c>
      <c r="O6" s="50">
        <v>41630</v>
      </c>
      <c r="P6" s="51">
        <f t="shared" si="1"/>
        <v>296139</v>
      </c>
    </row>
    <row r="7" spans="1:16" ht="10.5" customHeight="1">
      <c r="A7" s="264"/>
      <c r="B7" s="272"/>
      <c r="C7" s="39" t="s">
        <v>170</v>
      </c>
      <c r="D7" s="52">
        <v>16614</v>
      </c>
      <c r="E7" s="52">
        <v>12803</v>
      </c>
      <c r="F7" s="52">
        <v>16826</v>
      </c>
      <c r="G7" s="52">
        <v>13826</v>
      </c>
      <c r="H7" s="52">
        <v>11838</v>
      </c>
      <c r="I7" s="52">
        <v>14636</v>
      </c>
      <c r="J7" s="52">
        <v>14483</v>
      </c>
      <c r="K7" s="52">
        <v>13248</v>
      </c>
      <c r="L7" s="52">
        <v>18791</v>
      </c>
      <c r="M7" s="52">
        <v>15032</v>
      </c>
      <c r="N7" s="52">
        <v>17379</v>
      </c>
      <c r="O7" s="52">
        <v>21743</v>
      </c>
      <c r="P7" s="26">
        <f t="shared" si="1"/>
        <v>187219</v>
      </c>
    </row>
    <row r="8" spans="1:16" ht="12.75">
      <c r="A8" s="264"/>
      <c r="B8" s="272"/>
      <c r="C8" s="41" t="s">
        <v>172</v>
      </c>
      <c r="D8" s="52">
        <v>13801</v>
      </c>
      <c r="E8" s="52">
        <v>11527</v>
      </c>
      <c r="F8" s="52">
        <v>17914</v>
      </c>
      <c r="G8" s="52">
        <v>9078</v>
      </c>
      <c r="H8" s="52">
        <v>13507</v>
      </c>
      <c r="I8" s="52">
        <v>15522</v>
      </c>
      <c r="J8" s="52">
        <v>13619</v>
      </c>
      <c r="K8" s="52">
        <v>14924</v>
      </c>
      <c r="L8" s="52">
        <v>12310</v>
      </c>
      <c r="M8" s="52">
        <v>15276</v>
      </c>
      <c r="N8" s="52">
        <v>12137</v>
      </c>
      <c r="O8" s="52">
        <v>19150</v>
      </c>
      <c r="P8" s="26">
        <f t="shared" si="1"/>
        <v>168765</v>
      </c>
    </row>
    <row r="9" spans="1:16" ht="12.75">
      <c r="A9" s="264"/>
      <c r="B9" s="272"/>
      <c r="C9" s="39" t="s">
        <v>171</v>
      </c>
      <c r="D9" s="52">
        <v>8305</v>
      </c>
      <c r="E9" s="52">
        <v>11545</v>
      </c>
      <c r="F9" s="52">
        <v>8284</v>
      </c>
      <c r="G9" s="52">
        <v>6706</v>
      </c>
      <c r="H9" s="52">
        <v>7051</v>
      </c>
      <c r="I9" s="52">
        <v>8919</v>
      </c>
      <c r="J9" s="52">
        <v>7760</v>
      </c>
      <c r="K9" s="52">
        <v>7425</v>
      </c>
      <c r="L9" s="52">
        <v>7749</v>
      </c>
      <c r="M9" s="52">
        <v>11060</v>
      </c>
      <c r="N9" s="52">
        <v>7788</v>
      </c>
      <c r="O9" s="52">
        <v>9708</v>
      </c>
      <c r="P9" s="26">
        <f t="shared" si="1"/>
        <v>102300</v>
      </c>
    </row>
    <row r="10" spans="1:16" ht="12.75">
      <c r="A10" s="264"/>
      <c r="B10" s="272"/>
      <c r="C10" s="39" t="s">
        <v>21</v>
      </c>
      <c r="D10" s="52">
        <v>2889</v>
      </c>
      <c r="E10" s="52">
        <v>2889</v>
      </c>
      <c r="F10" s="52">
        <v>4441</v>
      </c>
      <c r="G10" s="52">
        <v>2511</v>
      </c>
      <c r="H10" s="52">
        <v>3638</v>
      </c>
      <c r="I10" s="52">
        <v>1669</v>
      </c>
      <c r="J10" s="52">
        <v>4280</v>
      </c>
      <c r="K10" s="52">
        <v>4536</v>
      </c>
      <c r="L10" s="52">
        <v>5899</v>
      </c>
      <c r="M10" s="52">
        <v>7044</v>
      </c>
      <c r="N10" s="52">
        <v>5270</v>
      </c>
      <c r="O10" s="52">
        <v>9849</v>
      </c>
      <c r="P10" s="26">
        <f t="shared" si="1"/>
        <v>54915</v>
      </c>
    </row>
    <row r="11" spans="1:16" ht="12.75">
      <c r="A11" s="264"/>
      <c r="B11" s="272"/>
      <c r="C11" s="39" t="s">
        <v>20</v>
      </c>
      <c r="D11" s="52">
        <v>2482</v>
      </c>
      <c r="E11" s="52">
        <v>1970</v>
      </c>
      <c r="F11" s="52">
        <v>2352</v>
      </c>
      <c r="G11" s="52">
        <v>2974</v>
      </c>
      <c r="H11" s="52">
        <v>3157</v>
      </c>
      <c r="I11" s="52">
        <v>2920</v>
      </c>
      <c r="J11" s="52">
        <v>3005</v>
      </c>
      <c r="K11" s="52">
        <v>2737</v>
      </c>
      <c r="L11" s="52">
        <v>3136</v>
      </c>
      <c r="M11" s="52">
        <v>2360</v>
      </c>
      <c r="N11" s="52">
        <v>2276</v>
      </c>
      <c r="O11" s="52">
        <v>3472</v>
      </c>
      <c r="P11" s="26">
        <f t="shared" si="1"/>
        <v>32841</v>
      </c>
    </row>
    <row r="12" spans="1:16" ht="12.75">
      <c r="A12" s="264"/>
      <c r="B12" s="272"/>
      <c r="C12" s="39" t="s">
        <v>173</v>
      </c>
      <c r="D12" s="52">
        <v>3038</v>
      </c>
      <c r="E12" s="52">
        <v>1951</v>
      </c>
      <c r="F12" s="52">
        <v>3040</v>
      </c>
      <c r="G12" s="52">
        <v>2923</v>
      </c>
      <c r="H12" s="52">
        <v>2409</v>
      </c>
      <c r="I12" s="52">
        <v>2755</v>
      </c>
      <c r="J12" s="52">
        <v>2131</v>
      </c>
      <c r="K12" s="52">
        <v>1906</v>
      </c>
      <c r="L12" s="52">
        <v>4207</v>
      </c>
      <c r="M12" s="52">
        <v>2297</v>
      </c>
      <c r="N12" s="52">
        <v>2285</v>
      </c>
      <c r="O12" s="52">
        <v>3498</v>
      </c>
      <c r="P12" s="26">
        <f t="shared" si="1"/>
        <v>32440</v>
      </c>
    </row>
    <row r="13" spans="1:16" ht="12.75">
      <c r="A13" s="264"/>
      <c r="B13" s="272"/>
      <c r="C13" s="39" t="s">
        <v>174</v>
      </c>
      <c r="D13" s="52">
        <v>2221</v>
      </c>
      <c r="E13" s="52">
        <v>2104</v>
      </c>
      <c r="F13" s="52">
        <v>2537</v>
      </c>
      <c r="G13" s="52">
        <v>1955</v>
      </c>
      <c r="H13" s="52">
        <v>2116</v>
      </c>
      <c r="I13" s="52">
        <v>2694</v>
      </c>
      <c r="J13" s="52">
        <v>2283</v>
      </c>
      <c r="K13" s="52">
        <v>1804</v>
      </c>
      <c r="L13" s="52">
        <v>3028</v>
      </c>
      <c r="M13" s="52">
        <v>2544</v>
      </c>
      <c r="N13" s="52">
        <v>2355</v>
      </c>
      <c r="O13" s="52">
        <v>4390</v>
      </c>
      <c r="P13" s="26">
        <f t="shared" si="1"/>
        <v>30031</v>
      </c>
    </row>
    <row r="14" spans="1:16" ht="13.5" thickBot="1">
      <c r="A14" s="264"/>
      <c r="B14" s="273"/>
      <c r="C14" s="42" t="s">
        <v>22</v>
      </c>
      <c r="D14" s="53">
        <v>1682</v>
      </c>
      <c r="E14" s="53">
        <v>1394</v>
      </c>
      <c r="F14" s="53">
        <v>1918</v>
      </c>
      <c r="G14" s="53">
        <v>1988</v>
      </c>
      <c r="H14" s="53">
        <v>2117</v>
      </c>
      <c r="I14" s="53">
        <v>3962</v>
      </c>
      <c r="J14" s="53">
        <v>1594</v>
      </c>
      <c r="K14" s="53">
        <v>1980</v>
      </c>
      <c r="L14" s="53">
        <v>2004</v>
      </c>
      <c r="M14" s="53">
        <v>1754</v>
      </c>
      <c r="N14" s="53">
        <v>1750</v>
      </c>
      <c r="O14" s="53">
        <v>2322</v>
      </c>
      <c r="P14" s="28">
        <f t="shared" si="1"/>
        <v>24465</v>
      </c>
    </row>
    <row r="15" spans="1:16" ht="21.75" customHeight="1" thickBot="1">
      <c r="A15" s="264"/>
      <c r="B15" s="276" t="s">
        <v>191</v>
      </c>
      <c r="C15" s="44" t="s">
        <v>176</v>
      </c>
      <c r="D15" s="58">
        <f>SUM(D16:D24)</f>
        <v>4348</v>
      </c>
      <c r="E15" s="58">
        <f aca="true" t="shared" si="2" ref="E15:O15">SUM(E16:E24)</f>
        <v>10437</v>
      </c>
      <c r="F15" s="58">
        <f t="shared" si="2"/>
        <v>5045</v>
      </c>
      <c r="G15" s="58">
        <f t="shared" si="2"/>
        <v>13382.3</v>
      </c>
      <c r="H15" s="58">
        <f t="shared" si="2"/>
        <v>4718</v>
      </c>
      <c r="I15" s="58">
        <f t="shared" si="2"/>
        <v>6710</v>
      </c>
      <c r="J15" s="58">
        <f t="shared" si="2"/>
        <v>2514</v>
      </c>
      <c r="K15" s="58">
        <f t="shared" si="2"/>
        <v>4612</v>
      </c>
      <c r="L15" s="58">
        <f t="shared" si="2"/>
        <v>2321.6</v>
      </c>
      <c r="M15" s="58">
        <f t="shared" si="2"/>
        <v>2454</v>
      </c>
      <c r="N15" s="58">
        <f t="shared" si="2"/>
        <v>3409</v>
      </c>
      <c r="O15" s="58">
        <f t="shared" si="2"/>
        <v>6907</v>
      </c>
      <c r="P15" s="59">
        <f t="shared" si="1"/>
        <v>66857.9</v>
      </c>
    </row>
    <row r="16" spans="1:16" ht="12.75">
      <c r="A16" s="264"/>
      <c r="B16" s="277"/>
      <c r="C16" s="37" t="s">
        <v>17</v>
      </c>
      <c r="D16" s="50">
        <v>1962</v>
      </c>
      <c r="E16" s="50">
        <v>8903</v>
      </c>
      <c r="F16" s="50">
        <v>2973</v>
      </c>
      <c r="G16" s="50">
        <v>2059</v>
      </c>
      <c r="H16" s="50">
        <v>3501</v>
      </c>
      <c r="I16" s="50">
        <v>3806</v>
      </c>
      <c r="J16" s="50">
        <v>650</v>
      </c>
      <c r="K16" s="50">
        <v>2762</v>
      </c>
      <c r="L16" s="50">
        <v>1178</v>
      </c>
      <c r="M16" s="50">
        <v>1179</v>
      </c>
      <c r="N16" s="50">
        <v>2119</v>
      </c>
      <c r="O16" s="50">
        <v>4270</v>
      </c>
      <c r="P16" s="51">
        <f t="shared" si="1"/>
        <v>35362</v>
      </c>
    </row>
    <row r="17" spans="1:16" ht="16.5" customHeight="1">
      <c r="A17" s="264"/>
      <c r="B17" s="277"/>
      <c r="C17" s="39" t="s">
        <v>170</v>
      </c>
      <c r="D17" s="52">
        <v>843</v>
      </c>
      <c r="E17" s="52">
        <v>863</v>
      </c>
      <c r="F17" s="52">
        <v>1133</v>
      </c>
      <c r="G17" s="52">
        <v>1375</v>
      </c>
      <c r="H17" s="52">
        <v>534</v>
      </c>
      <c r="I17" s="52">
        <v>1003</v>
      </c>
      <c r="J17" s="52">
        <v>702</v>
      </c>
      <c r="K17" s="52">
        <v>981</v>
      </c>
      <c r="L17" s="52">
        <v>389</v>
      </c>
      <c r="M17" s="52">
        <v>620</v>
      </c>
      <c r="N17" s="52">
        <v>609</v>
      </c>
      <c r="O17" s="52">
        <v>1681</v>
      </c>
      <c r="P17" s="26">
        <f t="shared" si="1"/>
        <v>10733</v>
      </c>
    </row>
    <row r="18" spans="1:16" ht="12.75">
      <c r="A18" s="264"/>
      <c r="B18" s="277"/>
      <c r="C18" s="39" t="s">
        <v>21</v>
      </c>
      <c r="D18" s="52">
        <v>10</v>
      </c>
      <c r="E18" s="52">
        <v>61</v>
      </c>
      <c r="F18" s="52">
        <v>145</v>
      </c>
      <c r="G18" s="52">
        <v>9265</v>
      </c>
      <c r="H18" s="52">
        <v>72</v>
      </c>
      <c r="I18" s="52">
        <v>172</v>
      </c>
      <c r="J18" s="52">
        <v>132</v>
      </c>
      <c r="K18" s="52">
        <v>70</v>
      </c>
      <c r="L18" s="52">
        <v>108</v>
      </c>
      <c r="M18" s="52">
        <v>100</v>
      </c>
      <c r="N18" s="52">
        <v>91</v>
      </c>
      <c r="O18" s="52">
        <v>282</v>
      </c>
      <c r="P18" s="26">
        <f t="shared" si="1"/>
        <v>10508</v>
      </c>
    </row>
    <row r="19" spans="1:16" ht="12.75">
      <c r="A19" s="264"/>
      <c r="B19" s="277"/>
      <c r="C19" s="41" t="s">
        <v>172</v>
      </c>
      <c r="D19" s="52">
        <v>873</v>
      </c>
      <c r="E19" s="52">
        <v>470</v>
      </c>
      <c r="F19" s="52">
        <v>398</v>
      </c>
      <c r="G19" s="52">
        <v>233</v>
      </c>
      <c r="H19" s="52">
        <v>420</v>
      </c>
      <c r="I19" s="52">
        <v>855</v>
      </c>
      <c r="J19" s="52">
        <v>782</v>
      </c>
      <c r="K19" s="52">
        <v>605</v>
      </c>
      <c r="L19" s="52">
        <v>480</v>
      </c>
      <c r="M19" s="52">
        <v>350</v>
      </c>
      <c r="N19" s="52">
        <v>353</v>
      </c>
      <c r="O19" s="52">
        <v>442</v>
      </c>
      <c r="P19" s="26">
        <f t="shared" si="1"/>
        <v>6261</v>
      </c>
    </row>
    <row r="20" spans="1:16" ht="12.75">
      <c r="A20" s="264"/>
      <c r="B20" s="277"/>
      <c r="C20" s="39" t="s">
        <v>171</v>
      </c>
      <c r="D20" s="52">
        <v>548</v>
      </c>
      <c r="E20" s="52">
        <v>84</v>
      </c>
      <c r="F20" s="52">
        <v>346</v>
      </c>
      <c r="G20" s="52">
        <v>409</v>
      </c>
      <c r="H20" s="52">
        <v>146</v>
      </c>
      <c r="I20" s="52">
        <v>826</v>
      </c>
      <c r="J20" s="52">
        <v>204</v>
      </c>
      <c r="K20" s="52">
        <v>142</v>
      </c>
      <c r="L20" s="52">
        <v>107</v>
      </c>
      <c r="M20" s="52">
        <v>161</v>
      </c>
      <c r="N20" s="52">
        <v>161</v>
      </c>
      <c r="O20" s="52">
        <v>146</v>
      </c>
      <c r="P20" s="26">
        <f t="shared" si="1"/>
        <v>3280</v>
      </c>
    </row>
    <row r="21" spans="1:16" ht="12.75">
      <c r="A21" s="264"/>
      <c r="B21" s="277"/>
      <c r="C21" s="39" t="s">
        <v>20</v>
      </c>
      <c r="D21" s="52">
        <v>77</v>
      </c>
      <c r="E21" s="52">
        <v>14</v>
      </c>
      <c r="F21" s="52">
        <v>12</v>
      </c>
      <c r="G21" s="52">
        <v>41</v>
      </c>
      <c r="H21" s="52">
        <v>16</v>
      </c>
      <c r="I21" s="52">
        <v>8</v>
      </c>
      <c r="J21" s="52">
        <v>7</v>
      </c>
      <c r="K21" s="52">
        <v>19</v>
      </c>
      <c r="L21" s="52">
        <v>32</v>
      </c>
      <c r="M21" s="52">
        <v>16</v>
      </c>
      <c r="N21" s="52">
        <v>20</v>
      </c>
      <c r="O21" s="52">
        <v>22</v>
      </c>
      <c r="P21" s="26">
        <f t="shared" si="1"/>
        <v>284</v>
      </c>
    </row>
    <row r="22" spans="1:16" ht="12.75">
      <c r="A22" s="264"/>
      <c r="B22" s="277"/>
      <c r="C22" s="39" t="s">
        <v>173</v>
      </c>
      <c r="D22" s="52">
        <v>33</v>
      </c>
      <c r="E22" s="52">
        <v>13</v>
      </c>
      <c r="F22" s="52">
        <v>20</v>
      </c>
      <c r="G22" s="52">
        <v>0</v>
      </c>
      <c r="H22" s="52">
        <v>15</v>
      </c>
      <c r="I22" s="52">
        <v>27</v>
      </c>
      <c r="J22" s="52">
        <v>26</v>
      </c>
      <c r="K22" s="52">
        <v>19</v>
      </c>
      <c r="L22" s="52">
        <v>27</v>
      </c>
      <c r="M22" s="52">
        <v>26</v>
      </c>
      <c r="N22" s="52">
        <v>21</v>
      </c>
      <c r="O22" s="52">
        <v>26</v>
      </c>
      <c r="P22" s="26">
        <f t="shared" si="1"/>
        <v>253</v>
      </c>
    </row>
    <row r="23" spans="1:16" ht="12.75">
      <c r="A23" s="264"/>
      <c r="B23" s="277"/>
      <c r="C23" s="39" t="s">
        <v>174</v>
      </c>
      <c r="D23" s="52">
        <v>2</v>
      </c>
      <c r="E23" s="52">
        <v>11</v>
      </c>
      <c r="F23" s="52">
        <v>18</v>
      </c>
      <c r="G23" s="52">
        <v>0.3</v>
      </c>
      <c r="H23" s="52">
        <v>10</v>
      </c>
      <c r="I23" s="52">
        <v>9</v>
      </c>
      <c r="J23" s="52">
        <v>5</v>
      </c>
      <c r="K23" s="52">
        <v>4</v>
      </c>
      <c r="L23" s="52">
        <v>0</v>
      </c>
      <c r="M23" s="52">
        <v>2</v>
      </c>
      <c r="N23" s="52">
        <v>31</v>
      </c>
      <c r="O23" s="52">
        <v>23</v>
      </c>
      <c r="P23" s="26">
        <f t="shared" si="1"/>
        <v>115.3</v>
      </c>
    </row>
    <row r="24" spans="1:16" ht="13.5" thickBot="1">
      <c r="A24" s="264"/>
      <c r="B24" s="278"/>
      <c r="C24" s="42" t="s">
        <v>22</v>
      </c>
      <c r="D24" s="53">
        <v>0</v>
      </c>
      <c r="E24" s="53">
        <v>18</v>
      </c>
      <c r="F24" s="53">
        <v>0</v>
      </c>
      <c r="G24" s="53">
        <v>0</v>
      </c>
      <c r="H24" s="53">
        <v>4</v>
      </c>
      <c r="I24" s="53">
        <v>4</v>
      </c>
      <c r="J24" s="53">
        <v>6</v>
      </c>
      <c r="K24" s="53">
        <v>10</v>
      </c>
      <c r="L24" s="53">
        <v>0.6</v>
      </c>
      <c r="M24" s="53">
        <v>0</v>
      </c>
      <c r="N24" s="53">
        <v>4</v>
      </c>
      <c r="O24" s="53">
        <v>15</v>
      </c>
      <c r="P24" s="28">
        <f t="shared" si="1"/>
        <v>61.6</v>
      </c>
    </row>
    <row r="25" spans="1:16" ht="21.75" customHeight="1" thickBot="1">
      <c r="A25" s="264"/>
      <c r="B25" s="276" t="s">
        <v>192</v>
      </c>
      <c r="C25" s="44" t="s">
        <v>176</v>
      </c>
      <c r="D25" s="60">
        <f>SUM(D26:D34)</f>
        <v>50330</v>
      </c>
      <c r="E25" s="60">
        <f aca="true" t="shared" si="3" ref="E25:O25">SUM(E26:E34)</f>
        <v>52385</v>
      </c>
      <c r="F25" s="60">
        <f t="shared" si="3"/>
        <v>64337</v>
      </c>
      <c r="G25" s="60">
        <f t="shared" si="3"/>
        <v>52499</v>
      </c>
      <c r="H25" s="60">
        <f t="shared" si="3"/>
        <v>58648</v>
      </c>
      <c r="I25" s="60">
        <f t="shared" si="3"/>
        <v>69483</v>
      </c>
      <c r="J25" s="60">
        <f t="shared" si="3"/>
        <v>81404</v>
      </c>
      <c r="K25" s="60">
        <f t="shared" si="3"/>
        <v>52127</v>
      </c>
      <c r="L25" s="60">
        <f t="shared" si="3"/>
        <v>62294</v>
      </c>
      <c r="M25" s="60">
        <f t="shared" si="3"/>
        <v>68622</v>
      </c>
      <c r="N25" s="60">
        <f t="shared" si="3"/>
        <v>52719</v>
      </c>
      <c r="O25" s="60">
        <f t="shared" si="3"/>
        <v>91007</v>
      </c>
      <c r="P25" s="61">
        <f t="shared" si="1"/>
        <v>755855</v>
      </c>
    </row>
    <row r="26" spans="1:16" ht="12.75">
      <c r="A26" s="264"/>
      <c r="B26" s="277"/>
      <c r="C26" s="37" t="s">
        <v>17</v>
      </c>
      <c r="D26" s="50">
        <v>12047</v>
      </c>
      <c r="E26" s="50">
        <v>20387</v>
      </c>
      <c r="F26" s="50">
        <v>17968</v>
      </c>
      <c r="G26" s="50">
        <v>17356</v>
      </c>
      <c r="H26" s="50">
        <v>20452</v>
      </c>
      <c r="I26" s="50">
        <v>26696</v>
      </c>
      <c r="J26" s="50">
        <v>15633</v>
      </c>
      <c r="K26" s="50">
        <v>12215</v>
      </c>
      <c r="L26" s="50">
        <v>20598</v>
      </c>
      <c r="M26" s="50">
        <v>24030</v>
      </c>
      <c r="N26" s="50">
        <v>13979</v>
      </c>
      <c r="O26" s="50">
        <v>31400</v>
      </c>
      <c r="P26" s="51">
        <f t="shared" si="1"/>
        <v>232761</v>
      </c>
    </row>
    <row r="27" spans="1:16" ht="13.5" customHeight="1">
      <c r="A27" s="264"/>
      <c r="B27" s="277"/>
      <c r="C27" s="39" t="s">
        <v>170</v>
      </c>
      <c r="D27" s="52">
        <v>13505</v>
      </c>
      <c r="E27" s="52">
        <v>10318</v>
      </c>
      <c r="F27" s="52">
        <v>13655</v>
      </c>
      <c r="G27" s="52">
        <v>11184</v>
      </c>
      <c r="H27" s="52">
        <v>11206</v>
      </c>
      <c r="I27" s="52">
        <v>11355</v>
      </c>
      <c r="J27" s="52">
        <v>12048</v>
      </c>
      <c r="K27" s="52">
        <v>10449</v>
      </c>
      <c r="L27" s="52">
        <v>10944</v>
      </c>
      <c r="M27" s="52">
        <v>12040</v>
      </c>
      <c r="N27" s="52">
        <v>14044</v>
      </c>
      <c r="O27" s="52">
        <v>17323</v>
      </c>
      <c r="P27" s="26">
        <f t="shared" si="1"/>
        <v>148071</v>
      </c>
    </row>
    <row r="28" spans="1:16" ht="15.75" customHeight="1">
      <c r="A28" s="264"/>
      <c r="B28" s="277"/>
      <c r="C28" s="41" t="s">
        <v>172</v>
      </c>
      <c r="D28" s="52">
        <v>7517</v>
      </c>
      <c r="E28" s="52">
        <v>8628</v>
      </c>
      <c r="F28" s="52">
        <v>15053</v>
      </c>
      <c r="G28" s="52">
        <v>7521</v>
      </c>
      <c r="H28" s="52">
        <v>10112</v>
      </c>
      <c r="I28" s="52">
        <v>12730</v>
      </c>
      <c r="J28" s="52">
        <v>9979</v>
      </c>
      <c r="K28" s="52">
        <v>12444</v>
      </c>
      <c r="L28" s="52">
        <v>10014</v>
      </c>
      <c r="M28" s="52">
        <v>10530</v>
      </c>
      <c r="N28" s="52">
        <v>8124</v>
      </c>
      <c r="O28" s="52">
        <v>15460</v>
      </c>
      <c r="P28" s="26">
        <f t="shared" si="1"/>
        <v>128112</v>
      </c>
    </row>
    <row r="29" spans="1:16" ht="12.75">
      <c r="A29" s="264"/>
      <c r="B29" s="277"/>
      <c r="C29" s="39" t="s">
        <v>171</v>
      </c>
      <c r="D29" s="52">
        <v>6908</v>
      </c>
      <c r="E29" s="52">
        <v>4811</v>
      </c>
      <c r="F29" s="52">
        <v>6442</v>
      </c>
      <c r="G29" s="52">
        <v>5450</v>
      </c>
      <c r="H29" s="52">
        <v>5687</v>
      </c>
      <c r="I29" s="52">
        <v>7493</v>
      </c>
      <c r="J29" s="52">
        <v>6730</v>
      </c>
      <c r="K29" s="52">
        <v>5965</v>
      </c>
      <c r="L29" s="52">
        <v>6344</v>
      </c>
      <c r="M29" s="52">
        <v>8743</v>
      </c>
      <c r="N29" s="52">
        <v>5589</v>
      </c>
      <c r="O29" s="52">
        <v>6960</v>
      </c>
      <c r="P29" s="26">
        <f t="shared" si="1"/>
        <v>77122</v>
      </c>
    </row>
    <row r="30" spans="1:16" ht="12.75">
      <c r="A30" s="264"/>
      <c r="B30" s="277"/>
      <c r="C30" s="39" t="s">
        <v>21</v>
      </c>
      <c r="D30" s="52">
        <v>2711</v>
      </c>
      <c r="E30" s="52">
        <v>2496</v>
      </c>
      <c r="F30" s="52">
        <v>3506</v>
      </c>
      <c r="G30" s="52">
        <v>3218</v>
      </c>
      <c r="H30" s="52">
        <v>2888</v>
      </c>
      <c r="I30" s="52">
        <v>2870</v>
      </c>
      <c r="J30" s="52">
        <v>13783</v>
      </c>
      <c r="K30" s="52">
        <v>3658</v>
      </c>
      <c r="L30" s="52">
        <v>5253</v>
      </c>
      <c r="M30" s="52">
        <v>6078</v>
      </c>
      <c r="N30" s="52">
        <v>4017</v>
      </c>
      <c r="O30" s="52">
        <v>8598</v>
      </c>
      <c r="P30" s="26">
        <f t="shared" si="1"/>
        <v>59076</v>
      </c>
    </row>
    <row r="31" spans="1:16" ht="12.75">
      <c r="A31" s="264"/>
      <c r="B31" s="277"/>
      <c r="C31" s="39" t="s">
        <v>174</v>
      </c>
      <c r="D31" s="52">
        <v>1887</v>
      </c>
      <c r="E31" s="52">
        <v>1512</v>
      </c>
      <c r="F31" s="52">
        <v>1861</v>
      </c>
      <c r="G31" s="52">
        <v>1695</v>
      </c>
      <c r="H31" s="52">
        <v>1756</v>
      </c>
      <c r="I31" s="52">
        <v>2329</v>
      </c>
      <c r="J31" s="52">
        <v>17930</v>
      </c>
      <c r="K31" s="52">
        <v>1470</v>
      </c>
      <c r="L31" s="52">
        <v>2352</v>
      </c>
      <c r="M31" s="52">
        <v>1960</v>
      </c>
      <c r="N31" s="52">
        <v>1860</v>
      </c>
      <c r="O31" s="52">
        <v>3896</v>
      </c>
      <c r="P31" s="26">
        <f t="shared" si="1"/>
        <v>40508</v>
      </c>
    </row>
    <row r="32" spans="1:16" ht="12.75">
      <c r="A32" s="264"/>
      <c r="B32" s="277"/>
      <c r="C32" s="39" t="s">
        <v>20</v>
      </c>
      <c r="D32" s="52">
        <v>1980</v>
      </c>
      <c r="E32" s="52">
        <v>1564</v>
      </c>
      <c r="F32" s="52">
        <v>1978</v>
      </c>
      <c r="G32" s="52">
        <v>2156</v>
      </c>
      <c r="H32" s="52">
        <v>2638</v>
      </c>
      <c r="I32" s="52">
        <v>2340</v>
      </c>
      <c r="J32" s="52">
        <v>2271</v>
      </c>
      <c r="K32" s="52">
        <v>2411</v>
      </c>
      <c r="L32" s="52">
        <v>2336</v>
      </c>
      <c r="M32" s="52">
        <v>1817</v>
      </c>
      <c r="N32" s="52">
        <v>1800</v>
      </c>
      <c r="O32" s="52">
        <v>2814</v>
      </c>
      <c r="P32" s="26">
        <f t="shared" si="1"/>
        <v>26105</v>
      </c>
    </row>
    <row r="33" spans="1:16" ht="12.75">
      <c r="A33" s="264"/>
      <c r="B33" s="277"/>
      <c r="C33" s="39" t="s">
        <v>173</v>
      </c>
      <c r="D33" s="52">
        <v>2469</v>
      </c>
      <c r="E33" s="52">
        <v>1584</v>
      </c>
      <c r="F33" s="52">
        <v>2623</v>
      </c>
      <c r="G33" s="52">
        <v>2286</v>
      </c>
      <c r="H33" s="52">
        <v>2033</v>
      </c>
      <c r="I33" s="52">
        <v>2397</v>
      </c>
      <c r="J33" s="52">
        <v>1678</v>
      </c>
      <c r="K33" s="52">
        <v>1546</v>
      </c>
      <c r="L33" s="52">
        <v>2762</v>
      </c>
      <c r="M33" s="52">
        <v>1974</v>
      </c>
      <c r="N33" s="52">
        <v>1920</v>
      </c>
      <c r="O33" s="52">
        <v>2749</v>
      </c>
      <c r="P33" s="26">
        <f t="shared" si="1"/>
        <v>26021</v>
      </c>
    </row>
    <row r="34" spans="1:16" ht="13.5" thickBot="1">
      <c r="A34" s="264"/>
      <c r="B34" s="278"/>
      <c r="C34" s="42" t="s">
        <v>22</v>
      </c>
      <c r="D34" s="53">
        <v>1306</v>
      </c>
      <c r="E34" s="53">
        <v>1085</v>
      </c>
      <c r="F34" s="53">
        <v>1251</v>
      </c>
      <c r="G34" s="53">
        <v>1633</v>
      </c>
      <c r="H34" s="53">
        <v>1876</v>
      </c>
      <c r="I34" s="53">
        <v>1273</v>
      </c>
      <c r="J34" s="53">
        <v>1352</v>
      </c>
      <c r="K34" s="53">
        <v>1969</v>
      </c>
      <c r="L34" s="53">
        <v>1691</v>
      </c>
      <c r="M34" s="53">
        <v>1450</v>
      </c>
      <c r="N34" s="53">
        <v>1386</v>
      </c>
      <c r="O34" s="53">
        <v>1807</v>
      </c>
      <c r="P34" s="28">
        <f t="shared" si="1"/>
        <v>18079</v>
      </c>
    </row>
    <row r="35" spans="1:16" ht="21.75" customHeight="1" thickBot="1">
      <c r="A35" s="264"/>
      <c r="B35" s="276" t="s">
        <v>193</v>
      </c>
      <c r="C35" s="44" t="s">
        <v>176</v>
      </c>
      <c r="D35" s="60">
        <f>SUM(D36:D44)</f>
        <v>3324</v>
      </c>
      <c r="E35" s="60">
        <f aca="true" t="shared" si="4" ref="E35:O35">SUM(E36:E44)</f>
        <v>2908</v>
      </c>
      <c r="F35" s="60">
        <f t="shared" si="4"/>
        <v>3589</v>
      </c>
      <c r="G35" s="60">
        <f t="shared" si="4"/>
        <v>2872</v>
      </c>
      <c r="H35" s="60">
        <f t="shared" si="4"/>
        <v>3314</v>
      </c>
      <c r="I35" s="60">
        <f t="shared" si="4"/>
        <v>4359</v>
      </c>
      <c r="J35" s="60">
        <f t="shared" si="4"/>
        <v>3251</v>
      </c>
      <c r="K35" s="60">
        <f t="shared" si="4"/>
        <v>2859</v>
      </c>
      <c r="L35" s="60">
        <f t="shared" si="4"/>
        <v>3773</v>
      </c>
      <c r="M35" s="60">
        <f t="shared" si="4"/>
        <v>3892</v>
      </c>
      <c r="N35" s="60">
        <f t="shared" si="4"/>
        <v>3244</v>
      </c>
      <c r="O35" s="60">
        <f t="shared" si="4"/>
        <v>5163</v>
      </c>
      <c r="P35" s="61">
        <f t="shared" si="1"/>
        <v>42548</v>
      </c>
    </row>
    <row r="36" spans="1:16" ht="12.75">
      <c r="A36" s="264"/>
      <c r="B36" s="277"/>
      <c r="C36" s="37" t="s">
        <v>17</v>
      </c>
      <c r="D36" s="50">
        <v>986</v>
      </c>
      <c r="E36" s="50">
        <v>1088</v>
      </c>
      <c r="F36" s="50">
        <v>1017</v>
      </c>
      <c r="G36" s="50">
        <v>989</v>
      </c>
      <c r="H36" s="50">
        <v>1171</v>
      </c>
      <c r="I36" s="50">
        <v>1487</v>
      </c>
      <c r="J36" s="50">
        <v>970</v>
      </c>
      <c r="K36" s="50">
        <v>705</v>
      </c>
      <c r="L36" s="50">
        <v>1215</v>
      </c>
      <c r="M36" s="50">
        <v>1331</v>
      </c>
      <c r="N36" s="50">
        <v>959</v>
      </c>
      <c r="O36" s="50">
        <v>1862</v>
      </c>
      <c r="P36" s="51">
        <f t="shared" si="1"/>
        <v>13780</v>
      </c>
    </row>
    <row r="37" spans="1:16" ht="15.75" customHeight="1">
      <c r="A37" s="264"/>
      <c r="B37" s="277"/>
      <c r="C37" s="39" t="s">
        <v>170</v>
      </c>
      <c r="D37" s="52">
        <v>780</v>
      </c>
      <c r="E37" s="52">
        <v>601</v>
      </c>
      <c r="F37" s="52">
        <v>790</v>
      </c>
      <c r="G37" s="52">
        <v>646</v>
      </c>
      <c r="H37" s="52">
        <v>648</v>
      </c>
      <c r="I37" s="52">
        <v>1185</v>
      </c>
      <c r="J37" s="52">
        <v>677</v>
      </c>
      <c r="K37" s="52">
        <v>621</v>
      </c>
      <c r="L37" s="52">
        <v>885</v>
      </c>
      <c r="M37" s="52">
        <v>704</v>
      </c>
      <c r="N37" s="52">
        <v>815</v>
      </c>
      <c r="O37" s="52">
        <v>1021</v>
      </c>
      <c r="P37" s="26">
        <f t="shared" si="1"/>
        <v>9373</v>
      </c>
    </row>
    <row r="38" spans="1:16" ht="12.75">
      <c r="A38" s="264"/>
      <c r="B38" s="277"/>
      <c r="C38" s="41" t="s">
        <v>172</v>
      </c>
      <c r="D38" s="52">
        <v>648</v>
      </c>
      <c r="E38" s="52">
        <v>534</v>
      </c>
      <c r="F38" s="52">
        <v>826</v>
      </c>
      <c r="G38" s="52">
        <v>422</v>
      </c>
      <c r="H38" s="52">
        <v>628</v>
      </c>
      <c r="I38" s="52">
        <v>724</v>
      </c>
      <c r="J38" s="52">
        <v>634</v>
      </c>
      <c r="K38" s="52">
        <v>693</v>
      </c>
      <c r="L38" s="52">
        <v>573</v>
      </c>
      <c r="M38" s="52">
        <v>713</v>
      </c>
      <c r="N38" s="52">
        <v>567</v>
      </c>
      <c r="O38" s="52">
        <v>894</v>
      </c>
      <c r="P38" s="26">
        <f t="shared" si="1"/>
        <v>7856</v>
      </c>
    </row>
    <row r="39" spans="1:16" ht="12.75">
      <c r="A39" s="264"/>
      <c r="B39" s="277"/>
      <c r="C39" s="39" t="s">
        <v>171</v>
      </c>
      <c r="D39" s="52">
        <v>382</v>
      </c>
      <c r="E39" s="52">
        <v>253</v>
      </c>
      <c r="F39" s="52">
        <v>377</v>
      </c>
      <c r="G39" s="52">
        <v>304</v>
      </c>
      <c r="H39" s="52">
        <v>323</v>
      </c>
      <c r="I39" s="52">
        <v>410</v>
      </c>
      <c r="J39" s="52">
        <v>354</v>
      </c>
      <c r="K39" s="52">
        <v>340</v>
      </c>
      <c r="L39" s="52">
        <v>354</v>
      </c>
      <c r="M39" s="52">
        <v>504</v>
      </c>
      <c r="N39" s="52">
        <v>355</v>
      </c>
      <c r="O39" s="52">
        <v>444</v>
      </c>
      <c r="P39" s="26">
        <f t="shared" si="1"/>
        <v>4400</v>
      </c>
    </row>
    <row r="40" spans="1:16" ht="12.75">
      <c r="A40" s="264"/>
      <c r="B40" s="277"/>
      <c r="C40" s="39" t="s">
        <v>21</v>
      </c>
      <c r="D40" s="52">
        <v>113</v>
      </c>
      <c r="E40" s="52">
        <v>92</v>
      </c>
      <c r="F40" s="52">
        <v>137</v>
      </c>
      <c r="G40" s="52">
        <v>70</v>
      </c>
      <c r="H40" s="52">
        <v>117</v>
      </c>
      <c r="I40" s="52">
        <v>115</v>
      </c>
      <c r="J40" s="52">
        <v>242</v>
      </c>
      <c r="K40" s="52">
        <v>143</v>
      </c>
      <c r="L40" s="52">
        <v>202</v>
      </c>
      <c r="M40" s="52">
        <v>245</v>
      </c>
      <c r="N40" s="52">
        <v>165</v>
      </c>
      <c r="O40" s="52">
        <v>332</v>
      </c>
      <c r="P40" s="26">
        <f t="shared" si="1"/>
        <v>1973</v>
      </c>
    </row>
    <row r="41" spans="1:16" ht="12.75">
      <c r="A41" s="264"/>
      <c r="B41" s="277"/>
      <c r="C41" s="39" t="s">
        <v>173</v>
      </c>
      <c r="D41" s="52">
        <v>137</v>
      </c>
      <c r="E41" s="52">
        <v>88</v>
      </c>
      <c r="F41" s="52">
        <v>137</v>
      </c>
      <c r="G41" s="52">
        <v>132</v>
      </c>
      <c r="H41" s="52">
        <v>109</v>
      </c>
      <c r="I41" s="52">
        <v>125</v>
      </c>
      <c r="J41" s="52">
        <v>96</v>
      </c>
      <c r="K41" s="52">
        <v>87</v>
      </c>
      <c r="L41" s="52">
        <v>184</v>
      </c>
      <c r="M41" s="52">
        <v>103</v>
      </c>
      <c r="N41" s="52">
        <v>103</v>
      </c>
      <c r="O41" s="52">
        <v>159</v>
      </c>
      <c r="P41" s="26">
        <f t="shared" si="1"/>
        <v>1460</v>
      </c>
    </row>
    <row r="42" spans="1:16" ht="12.75">
      <c r="A42" s="264"/>
      <c r="B42" s="277"/>
      <c r="C42" s="39" t="s">
        <v>174</v>
      </c>
      <c r="D42" s="52">
        <v>102</v>
      </c>
      <c r="E42" s="52">
        <v>97</v>
      </c>
      <c r="F42" s="52">
        <v>116</v>
      </c>
      <c r="G42" s="52">
        <v>90</v>
      </c>
      <c r="H42" s="52">
        <v>96</v>
      </c>
      <c r="I42" s="52">
        <v>124</v>
      </c>
      <c r="J42" s="52">
        <v>84</v>
      </c>
      <c r="K42" s="52">
        <v>83</v>
      </c>
      <c r="L42" s="52">
        <v>139</v>
      </c>
      <c r="M42" s="52">
        <v>113</v>
      </c>
      <c r="N42" s="52">
        <v>108</v>
      </c>
      <c r="O42" s="52">
        <v>203</v>
      </c>
      <c r="P42" s="26">
        <f t="shared" si="1"/>
        <v>1355</v>
      </c>
    </row>
    <row r="43" spans="1:16" ht="12.75">
      <c r="A43" s="264"/>
      <c r="B43" s="277"/>
      <c r="C43" s="39" t="s">
        <v>20</v>
      </c>
      <c r="D43" s="52">
        <v>97</v>
      </c>
      <c r="E43" s="52">
        <v>89</v>
      </c>
      <c r="F43" s="52">
        <v>99</v>
      </c>
      <c r="G43" s="52">
        <v>126</v>
      </c>
      <c r="H43" s="52">
        <v>123</v>
      </c>
      <c r="I43" s="52">
        <v>111</v>
      </c>
      <c r="J43" s="52">
        <v>120</v>
      </c>
      <c r="K43" s="52">
        <v>95</v>
      </c>
      <c r="L43" s="52">
        <v>128</v>
      </c>
      <c r="M43" s="52">
        <v>97</v>
      </c>
      <c r="N43" s="52">
        <v>90</v>
      </c>
      <c r="O43" s="52">
        <v>140</v>
      </c>
      <c r="P43" s="26">
        <f t="shared" si="1"/>
        <v>1315</v>
      </c>
    </row>
    <row r="44" spans="1:16" ht="13.5" thickBot="1">
      <c r="A44" s="265"/>
      <c r="B44" s="278"/>
      <c r="C44" s="42" t="s">
        <v>22</v>
      </c>
      <c r="D44" s="53">
        <v>79</v>
      </c>
      <c r="E44" s="53">
        <v>66</v>
      </c>
      <c r="F44" s="53">
        <v>90</v>
      </c>
      <c r="G44" s="53">
        <v>93</v>
      </c>
      <c r="H44" s="53">
        <v>99</v>
      </c>
      <c r="I44" s="53">
        <v>78</v>
      </c>
      <c r="J44" s="53">
        <v>74</v>
      </c>
      <c r="K44" s="53">
        <v>92</v>
      </c>
      <c r="L44" s="53">
        <v>93</v>
      </c>
      <c r="M44" s="53">
        <v>82</v>
      </c>
      <c r="N44" s="53">
        <v>82</v>
      </c>
      <c r="O44" s="53">
        <v>108</v>
      </c>
      <c r="P44" s="28">
        <f t="shared" si="1"/>
        <v>1036</v>
      </c>
    </row>
    <row r="45" spans="1:19" s="3" customFormat="1" ht="13.5" customHeight="1">
      <c r="A45" s="12" t="s">
        <v>168</v>
      </c>
      <c r="B45" s="6"/>
      <c r="C45" s="17"/>
      <c r="K45" s="3" t="s">
        <v>16</v>
      </c>
      <c r="R45"/>
      <c r="S45"/>
    </row>
  </sheetData>
  <sheetProtection/>
  <mergeCells count="6">
    <mergeCell ref="B25:B34"/>
    <mergeCell ref="B35:B44"/>
    <mergeCell ref="D3:P3"/>
    <mergeCell ref="A5:A44"/>
    <mergeCell ref="B5:B14"/>
    <mergeCell ref="B15:B2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S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62" customWidth="1"/>
    <col min="2" max="2" width="6.57421875" style="62" customWidth="1"/>
    <col min="3" max="3" width="24.7109375" style="62" customWidth="1"/>
    <col min="4" max="16" width="6.28125" style="62" customWidth="1"/>
    <col min="17" max="16384" width="9.140625" style="62" customWidth="1"/>
  </cols>
  <sheetData>
    <row r="1" spans="1:18" s="2" customFormat="1" ht="19.5" customHeight="1">
      <c r="A1" s="4" t="s">
        <v>198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R1"/>
    </row>
    <row r="2" ht="13.5" thickBot="1"/>
    <row r="3" spans="1:16" ht="13.5" thickBot="1">
      <c r="A3" s="6"/>
      <c r="B3" s="6"/>
      <c r="C3" s="17"/>
      <c r="D3" s="253">
        <v>2012</v>
      </c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</row>
    <row r="4" spans="1:16" ht="21.75" thickBot="1">
      <c r="A4" s="6"/>
      <c r="B4" s="6"/>
      <c r="C4" s="17"/>
      <c r="D4" s="111" t="s">
        <v>2</v>
      </c>
      <c r="E4" s="111" t="s">
        <v>3</v>
      </c>
      <c r="F4" s="111" t="s">
        <v>4</v>
      </c>
      <c r="G4" s="111" t="s">
        <v>5</v>
      </c>
      <c r="H4" s="111" t="s">
        <v>6</v>
      </c>
      <c r="I4" s="111" t="s">
        <v>7</v>
      </c>
      <c r="J4" s="111" t="s">
        <v>8</v>
      </c>
      <c r="K4" s="111" t="s">
        <v>9</v>
      </c>
      <c r="L4" s="111" t="s">
        <v>10</v>
      </c>
      <c r="M4" s="111" t="s">
        <v>11</v>
      </c>
      <c r="N4" s="111" t="s">
        <v>12</v>
      </c>
      <c r="O4" s="111" t="s">
        <v>13</v>
      </c>
      <c r="P4" s="111" t="s">
        <v>159</v>
      </c>
    </row>
    <row r="5" spans="1:16" ht="30" customHeight="1" thickBot="1">
      <c r="A5" s="254" t="s">
        <v>15</v>
      </c>
      <c r="B5" s="260" t="s">
        <v>169</v>
      </c>
      <c r="C5" s="63" t="s">
        <v>0</v>
      </c>
      <c r="D5" s="64">
        <f aca="true" t="shared" si="0" ref="D5:O5">SUM(D6:D12)</f>
        <v>4993</v>
      </c>
      <c r="E5" s="64">
        <f t="shared" si="0"/>
        <v>4051</v>
      </c>
      <c r="F5" s="64">
        <f t="shared" si="0"/>
        <v>4224</v>
      </c>
      <c r="G5" s="64">
        <f t="shared" si="0"/>
        <v>4083</v>
      </c>
      <c r="H5" s="64">
        <f t="shared" si="0"/>
        <v>3400</v>
      </c>
      <c r="I5" s="64">
        <f t="shared" si="0"/>
        <v>3460</v>
      </c>
      <c r="J5" s="64">
        <f t="shared" si="0"/>
        <v>3766</v>
      </c>
      <c r="K5" s="64">
        <f t="shared" si="0"/>
        <v>3632</v>
      </c>
      <c r="L5" s="64">
        <f t="shared" si="0"/>
        <v>2543</v>
      </c>
      <c r="M5" s="64">
        <f t="shared" si="0"/>
        <v>3259</v>
      </c>
      <c r="N5" s="64">
        <f t="shared" si="0"/>
        <v>3975</v>
      </c>
      <c r="O5" s="64">
        <f t="shared" si="0"/>
        <v>3095</v>
      </c>
      <c r="P5" s="65">
        <f aca="true" t="shared" si="1" ref="P5:P20">SUM(D5:O5)</f>
        <v>44481</v>
      </c>
    </row>
    <row r="6" spans="1:16" ht="12.75">
      <c r="A6" s="255"/>
      <c r="B6" s="261"/>
      <c r="C6" s="49" t="s">
        <v>199</v>
      </c>
      <c r="D6" s="45">
        <v>2732</v>
      </c>
      <c r="E6" s="45">
        <v>2154</v>
      </c>
      <c r="F6" s="45">
        <v>2236</v>
      </c>
      <c r="G6" s="45">
        <v>2209</v>
      </c>
      <c r="H6" s="45">
        <v>1886</v>
      </c>
      <c r="I6" s="45">
        <v>1941</v>
      </c>
      <c r="J6" s="45">
        <v>2123</v>
      </c>
      <c r="K6" s="45">
        <v>2003</v>
      </c>
      <c r="L6" s="45">
        <v>1806</v>
      </c>
      <c r="M6" s="45">
        <v>2355</v>
      </c>
      <c r="N6" s="45">
        <v>2548</v>
      </c>
      <c r="O6" s="45">
        <v>2168</v>
      </c>
      <c r="P6" s="46">
        <f t="shared" si="1"/>
        <v>26161</v>
      </c>
    </row>
    <row r="7" spans="1:16" ht="12.75">
      <c r="A7" s="255"/>
      <c r="B7" s="261"/>
      <c r="C7" s="39" t="s">
        <v>187</v>
      </c>
      <c r="D7" s="40">
        <v>2072</v>
      </c>
      <c r="E7" s="40">
        <v>1664</v>
      </c>
      <c r="F7" s="40">
        <v>1707</v>
      </c>
      <c r="G7" s="40">
        <v>1720</v>
      </c>
      <c r="H7" s="40">
        <v>1286</v>
      </c>
      <c r="I7" s="40">
        <v>1301</v>
      </c>
      <c r="J7" s="40">
        <v>1386</v>
      </c>
      <c r="K7" s="40">
        <v>1446</v>
      </c>
      <c r="L7" s="40">
        <v>511</v>
      </c>
      <c r="M7" s="40">
        <v>705</v>
      </c>
      <c r="N7" s="40">
        <v>1250</v>
      </c>
      <c r="O7" s="40">
        <v>641</v>
      </c>
      <c r="P7" s="31">
        <f t="shared" si="1"/>
        <v>15689</v>
      </c>
    </row>
    <row r="8" spans="1:16" ht="12.75">
      <c r="A8" s="255"/>
      <c r="B8" s="261"/>
      <c r="C8" s="113" t="s">
        <v>194</v>
      </c>
      <c r="D8" s="40">
        <f>23+3+146</f>
        <v>172</v>
      </c>
      <c r="E8" s="40">
        <f>40+147+1+34</f>
        <v>222</v>
      </c>
      <c r="F8" s="40">
        <f>43+222+1</f>
        <v>266</v>
      </c>
      <c r="G8" s="40">
        <f>28+117</f>
        <v>145</v>
      </c>
      <c r="H8" s="40">
        <f>27+13+179+2</f>
        <v>221</v>
      </c>
      <c r="I8" s="40">
        <f>36+167</f>
        <v>203</v>
      </c>
      <c r="J8" s="40">
        <f>58+1+187</f>
        <v>246</v>
      </c>
      <c r="K8" s="40">
        <f>25+139+8</f>
        <v>172</v>
      </c>
      <c r="L8" s="40">
        <f>31+184</f>
        <v>215</v>
      </c>
      <c r="M8" s="40">
        <f>148+39</f>
        <v>187</v>
      </c>
      <c r="N8" s="40">
        <f>33+129</f>
        <v>162</v>
      </c>
      <c r="O8" s="40">
        <f>42+233+1</f>
        <v>276</v>
      </c>
      <c r="P8" s="31">
        <f t="shared" si="1"/>
        <v>2487</v>
      </c>
    </row>
    <row r="9" spans="1:16" ht="12.75">
      <c r="A9" s="255"/>
      <c r="B9" s="261"/>
      <c r="C9" s="39" t="s">
        <v>195</v>
      </c>
      <c r="D9" s="40">
        <v>9</v>
      </c>
      <c r="E9" s="40">
        <v>7</v>
      </c>
      <c r="F9" s="40">
        <v>5</v>
      </c>
      <c r="G9" s="40">
        <v>3</v>
      </c>
      <c r="H9" s="40">
        <v>5</v>
      </c>
      <c r="I9" s="40">
        <v>11</v>
      </c>
      <c r="J9" s="40">
        <v>7</v>
      </c>
      <c r="K9" s="40">
        <v>1</v>
      </c>
      <c r="L9" s="40">
        <v>5</v>
      </c>
      <c r="M9" s="40">
        <v>5</v>
      </c>
      <c r="N9" s="40">
        <v>7</v>
      </c>
      <c r="O9" s="40">
        <v>7</v>
      </c>
      <c r="P9" s="31">
        <f t="shared" si="1"/>
        <v>72</v>
      </c>
    </row>
    <row r="10" spans="1:16" ht="12.75">
      <c r="A10" s="255"/>
      <c r="B10" s="261"/>
      <c r="C10" s="39" t="s">
        <v>196</v>
      </c>
      <c r="D10" s="40">
        <v>2</v>
      </c>
      <c r="E10" s="40">
        <v>2</v>
      </c>
      <c r="F10" s="40">
        <v>5</v>
      </c>
      <c r="G10" s="40">
        <v>0</v>
      </c>
      <c r="H10" s="40">
        <v>1</v>
      </c>
      <c r="I10" s="40">
        <v>2</v>
      </c>
      <c r="J10" s="40">
        <v>4</v>
      </c>
      <c r="K10" s="40">
        <v>5</v>
      </c>
      <c r="L10" s="40">
        <v>2</v>
      </c>
      <c r="M10" s="40">
        <v>3</v>
      </c>
      <c r="N10" s="40">
        <v>4</v>
      </c>
      <c r="O10" s="40">
        <v>2</v>
      </c>
      <c r="P10" s="31">
        <f t="shared" si="1"/>
        <v>32</v>
      </c>
    </row>
    <row r="11" spans="1:16" ht="12.75">
      <c r="A11" s="255"/>
      <c r="B11" s="261"/>
      <c r="C11" s="39" t="s">
        <v>197</v>
      </c>
      <c r="D11" s="40">
        <v>1</v>
      </c>
      <c r="E11" s="40">
        <v>0</v>
      </c>
      <c r="F11" s="40">
        <v>4</v>
      </c>
      <c r="G11" s="40">
        <v>2</v>
      </c>
      <c r="H11" s="40">
        <v>0</v>
      </c>
      <c r="I11" s="40">
        <v>1</v>
      </c>
      <c r="J11" s="40">
        <v>0</v>
      </c>
      <c r="K11" s="40">
        <v>5</v>
      </c>
      <c r="L11" s="40">
        <v>2</v>
      </c>
      <c r="M11" s="40">
        <v>4</v>
      </c>
      <c r="N11" s="40">
        <v>3</v>
      </c>
      <c r="O11" s="40">
        <v>0</v>
      </c>
      <c r="P11" s="31">
        <f t="shared" si="1"/>
        <v>22</v>
      </c>
    </row>
    <row r="12" spans="1:16" ht="13.5" thickBot="1">
      <c r="A12" s="255"/>
      <c r="B12" s="262"/>
      <c r="C12" s="42" t="s">
        <v>179</v>
      </c>
      <c r="D12" s="43">
        <v>5</v>
      </c>
      <c r="E12" s="43">
        <v>2</v>
      </c>
      <c r="F12" s="43">
        <v>1</v>
      </c>
      <c r="G12" s="43">
        <v>4</v>
      </c>
      <c r="H12" s="43">
        <v>1</v>
      </c>
      <c r="I12" s="43">
        <v>1</v>
      </c>
      <c r="J12" s="43">
        <v>0</v>
      </c>
      <c r="K12" s="43">
        <v>0</v>
      </c>
      <c r="L12" s="43">
        <v>2</v>
      </c>
      <c r="M12" s="43">
        <v>0</v>
      </c>
      <c r="N12" s="43">
        <v>1</v>
      </c>
      <c r="O12" s="43">
        <v>1</v>
      </c>
      <c r="P12" s="33">
        <f t="shared" si="1"/>
        <v>18</v>
      </c>
    </row>
    <row r="13" spans="1:16" ht="13.5" thickBot="1">
      <c r="A13" s="255"/>
      <c r="B13" s="257" t="s">
        <v>176</v>
      </c>
      <c r="C13" s="22" t="s">
        <v>0</v>
      </c>
      <c r="D13" s="67">
        <f>SUM(D14:D17)</f>
        <v>11952</v>
      </c>
      <c r="E13" s="67">
        <f aca="true" t="shared" si="2" ref="E13:O13">SUM(E14:E17)</f>
        <v>5977</v>
      </c>
      <c r="F13" s="67">
        <f t="shared" si="2"/>
        <v>9780</v>
      </c>
      <c r="G13" s="67">
        <f t="shared" si="2"/>
        <v>5400</v>
      </c>
      <c r="H13" s="67">
        <f t="shared" si="2"/>
        <v>11887</v>
      </c>
      <c r="I13" s="67">
        <f t="shared" si="2"/>
        <v>10794</v>
      </c>
      <c r="J13" s="67">
        <f t="shared" si="2"/>
        <v>11525</v>
      </c>
      <c r="K13" s="67">
        <f t="shared" si="2"/>
        <v>5832</v>
      </c>
      <c r="L13" s="67">
        <f t="shared" si="2"/>
        <v>5200</v>
      </c>
      <c r="M13" s="67">
        <f t="shared" si="2"/>
        <v>16423</v>
      </c>
      <c r="N13" s="67">
        <f t="shared" si="2"/>
        <v>7655</v>
      </c>
      <c r="O13" s="67">
        <f t="shared" si="2"/>
        <v>10970</v>
      </c>
      <c r="P13" s="68">
        <f t="shared" si="1"/>
        <v>113395</v>
      </c>
    </row>
    <row r="14" spans="1:16" ht="12.75">
      <c r="A14" s="255"/>
      <c r="B14" s="258"/>
      <c r="C14" s="114" t="s">
        <v>194</v>
      </c>
      <c r="D14" s="45">
        <v>10543</v>
      </c>
      <c r="E14" s="45">
        <v>5260</v>
      </c>
      <c r="F14" s="45">
        <v>8690</v>
      </c>
      <c r="G14" s="45">
        <v>4937</v>
      </c>
      <c r="H14" s="45">
        <v>9973</v>
      </c>
      <c r="I14" s="45">
        <v>8017</v>
      </c>
      <c r="J14" s="45">
        <v>10762</v>
      </c>
      <c r="K14" s="45">
        <v>5033</v>
      </c>
      <c r="L14" s="45">
        <v>4551</v>
      </c>
      <c r="M14" s="45">
        <v>5994</v>
      </c>
      <c r="N14" s="45">
        <v>6746</v>
      </c>
      <c r="O14" s="45">
        <v>8316</v>
      </c>
      <c r="P14" s="46">
        <f t="shared" si="1"/>
        <v>88822</v>
      </c>
    </row>
    <row r="15" spans="1:16" ht="12.75">
      <c r="A15" s="255"/>
      <c r="B15" s="258"/>
      <c r="C15" s="248" t="s">
        <v>193</v>
      </c>
      <c r="D15" s="69">
        <v>35</v>
      </c>
      <c r="E15" s="69">
        <v>19</v>
      </c>
      <c r="F15" s="69">
        <v>30</v>
      </c>
      <c r="G15" s="69">
        <v>19</v>
      </c>
      <c r="H15" s="69">
        <v>25</v>
      </c>
      <c r="I15" s="69">
        <v>26</v>
      </c>
      <c r="J15" s="69">
        <v>34</v>
      </c>
      <c r="K15" s="69">
        <v>17</v>
      </c>
      <c r="L15" s="69">
        <v>17</v>
      </c>
      <c r="M15" s="69">
        <v>8969</v>
      </c>
      <c r="N15" s="69">
        <v>20</v>
      </c>
      <c r="O15" s="69">
        <v>26</v>
      </c>
      <c r="P15" s="31">
        <f t="shared" si="1"/>
        <v>9237</v>
      </c>
    </row>
    <row r="16" spans="1:16" ht="12.75">
      <c r="A16" s="255"/>
      <c r="B16" s="258"/>
      <c r="C16" s="39" t="s">
        <v>190</v>
      </c>
      <c r="D16" s="40">
        <v>804</v>
      </c>
      <c r="E16" s="40">
        <v>419</v>
      </c>
      <c r="F16" s="40">
        <v>717</v>
      </c>
      <c r="G16" s="40">
        <v>391</v>
      </c>
      <c r="H16" s="40">
        <v>689</v>
      </c>
      <c r="I16" s="40">
        <v>557</v>
      </c>
      <c r="J16" s="40">
        <v>691</v>
      </c>
      <c r="K16" s="40">
        <v>394</v>
      </c>
      <c r="L16" s="40">
        <v>404</v>
      </c>
      <c r="M16" s="40">
        <v>461</v>
      </c>
      <c r="N16" s="40">
        <v>478</v>
      </c>
      <c r="O16" s="40">
        <v>2302</v>
      </c>
      <c r="P16" s="31">
        <f t="shared" si="1"/>
        <v>8307</v>
      </c>
    </row>
    <row r="17" spans="1:16" ht="12.75">
      <c r="A17" s="255"/>
      <c r="B17" s="258"/>
      <c r="C17" s="39" t="s">
        <v>195</v>
      </c>
      <c r="D17" s="40">
        <v>570</v>
      </c>
      <c r="E17" s="40">
        <v>279</v>
      </c>
      <c r="F17" s="40">
        <v>343</v>
      </c>
      <c r="G17" s="40">
        <v>53</v>
      </c>
      <c r="H17" s="40">
        <v>1200</v>
      </c>
      <c r="I17" s="40">
        <v>2194</v>
      </c>
      <c r="J17" s="40">
        <v>38</v>
      </c>
      <c r="K17" s="40">
        <v>388</v>
      </c>
      <c r="L17" s="40">
        <v>228</v>
      </c>
      <c r="M17" s="40">
        <v>999</v>
      </c>
      <c r="N17" s="40">
        <v>411</v>
      </c>
      <c r="O17" s="40">
        <v>326</v>
      </c>
      <c r="P17" s="31">
        <f t="shared" si="1"/>
        <v>7029</v>
      </c>
    </row>
    <row r="18" spans="1:16" ht="12.75">
      <c r="A18" s="255"/>
      <c r="B18" s="258"/>
      <c r="C18" s="248" t="s">
        <v>192</v>
      </c>
      <c r="D18" s="69">
        <v>867</v>
      </c>
      <c r="E18" s="69">
        <v>343</v>
      </c>
      <c r="F18" s="69">
        <v>656</v>
      </c>
      <c r="G18" s="69">
        <v>371</v>
      </c>
      <c r="H18" s="69">
        <v>620</v>
      </c>
      <c r="I18" s="69">
        <v>493</v>
      </c>
      <c r="J18" s="69">
        <v>633</v>
      </c>
      <c r="K18" s="69">
        <v>354</v>
      </c>
      <c r="L18" s="69">
        <v>281</v>
      </c>
      <c r="M18" s="69">
        <v>388</v>
      </c>
      <c r="N18" s="69">
        <v>429</v>
      </c>
      <c r="O18" s="69">
        <v>574</v>
      </c>
      <c r="P18" s="31">
        <f t="shared" si="1"/>
        <v>6009</v>
      </c>
    </row>
    <row r="19" spans="1:16" ht="12.75">
      <c r="A19" s="255"/>
      <c r="B19" s="258"/>
      <c r="C19" s="39" t="s">
        <v>179</v>
      </c>
      <c r="D19" s="40">
        <v>0</v>
      </c>
      <c r="E19" s="40">
        <v>0</v>
      </c>
      <c r="F19" s="40">
        <v>60</v>
      </c>
      <c r="G19" s="40">
        <v>0</v>
      </c>
      <c r="H19" s="40">
        <v>30</v>
      </c>
      <c r="I19" s="40">
        <v>0</v>
      </c>
      <c r="J19" s="40">
        <v>0</v>
      </c>
      <c r="K19" s="40">
        <v>34</v>
      </c>
      <c r="L19" s="40">
        <v>2769</v>
      </c>
      <c r="M19" s="40">
        <v>0</v>
      </c>
      <c r="N19" s="40">
        <v>0</v>
      </c>
      <c r="O19" s="40">
        <v>25</v>
      </c>
      <c r="P19" s="31">
        <f t="shared" si="1"/>
        <v>2918</v>
      </c>
    </row>
    <row r="20" spans="1:16" ht="13.5" thickBot="1">
      <c r="A20" s="256"/>
      <c r="B20" s="259"/>
      <c r="C20" s="249" t="s">
        <v>191</v>
      </c>
      <c r="D20" s="70">
        <v>2</v>
      </c>
      <c r="E20" s="70">
        <v>0</v>
      </c>
      <c r="F20" s="70">
        <v>1</v>
      </c>
      <c r="G20" s="70">
        <v>0</v>
      </c>
      <c r="H20" s="70">
        <v>0</v>
      </c>
      <c r="I20" s="70">
        <v>33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32</v>
      </c>
      <c r="P20" s="33">
        <f t="shared" si="1"/>
        <v>68</v>
      </c>
    </row>
    <row r="21" spans="1:19" s="3" customFormat="1" ht="13.5" customHeight="1">
      <c r="A21" s="12" t="s">
        <v>168</v>
      </c>
      <c r="B21" s="6"/>
      <c r="C21" s="17"/>
      <c r="K21" s="3" t="s">
        <v>16</v>
      </c>
      <c r="R21"/>
      <c r="S21"/>
    </row>
  </sheetData>
  <sheetProtection/>
  <mergeCells count="4">
    <mergeCell ref="D3:P3"/>
    <mergeCell ref="A5:A20"/>
    <mergeCell ref="B5:B12"/>
    <mergeCell ref="B13:B20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O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3" customWidth="1"/>
    <col min="2" max="2" width="26.28125" style="16" customWidth="1"/>
    <col min="3" max="3" width="9.8515625" style="23" customWidth="1"/>
    <col min="4" max="4" width="11.28125" style="23" customWidth="1"/>
    <col min="5" max="5" width="9.8515625" style="23" customWidth="1"/>
    <col min="6" max="6" width="11.7109375" style="23" customWidth="1"/>
    <col min="7" max="7" width="9.8515625" style="23" customWidth="1"/>
    <col min="8" max="8" width="11.140625" style="23" customWidth="1"/>
    <col min="9" max="9" width="9.8515625" style="23" customWidth="1"/>
    <col min="10" max="10" width="11.28125" style="23" customWidth="1"/>
    <col min="11" max="11" width="9.8515625" style="23" customWidth="1"/>
    <col min="12" max="12" width="10.7109375" style="23" customWidth="1"/>
    <col min="13" max="13" width="9.7109375" style="23" customWidth="1"/>
    <col min="14" max="14" width="11.421875" style="23" customWidth="1"/>
    <col min="15" max="15" width="11.00390625" style="23" customWidth="1"/>
    <col min="16" max="16" width="11.7109375" style="23" customWidth="1"/>
    <col min="17" max="16384" width="9.140625" style="23" customWidth="1"/>
  </cols>
  <sheetData>
    <row r="1" spans="1:15" s="3" customFormat="1" ht="18.75">
      <c r="A1" s="4" t="s">
        <v>144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15"/>
    </row>
    <row r="2" ht="9.75" customHeight="1" thickBot="1">
      <c r="A2" s="5"/>
    </row>
    <row r="3" spans="1:15" s="3" customFormat="1" ht="13.5" customHeight="1" thickBot="1">
      <c r="A3" s="5"/>
      <c r="B3" s="16"/>
      <c r="C3" s="285">
        <v>2012</v>
      </c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</row>
    <row r="4" spans="2:15" s="3" customFormat="1" ht="13.5" customHeight="1" thickBot="1">
      <c r="B4" s="16"/>
      <c r="C4" s="111" t="s">
        <v>2</v>
      </c>
      <c r="D4" s="111" t="s">
        <v>3</v>
      </c>
      <c r="E4" s="111" t="s">
        <v>4</v>
      </c>
      <c r="F4" s="111" t="s">
        <v>5</v>
      </c>
      <c r="G4" s="111" t="s">
        <v>6</v>
      </c>
      <c r="H4" s="111" t="s">
        <v>7</v>
      </c>
      <c r="I4" s="111" t="s">
        <v>8</v>
      </c>
      <c r="J4" s="111" t="s">
        <v>9</v>
      </c>
      <c r="K4" s="111" t="s">
        <v>10</v>
      </c>
      <c r="L4" s="111" t="s">
        <v>11</v>
      </c>
      <c r="M4" s="111" t="s">
        <v>12</v>
      </c>
      <c r="N4" s="111" t="s">
        <v>13</v>
      </c>
      <c r="O4" s="111" t="s">
        <v>159</v>
      </c>
    </row>
    <row r="5" spans="1:15" s="11" customFormat="1" ht="13.5" customHeight="1" thickBot="1">
      <c r="A5" s="282" t="s">
        <v>24</v>
      </c>
      <c r="B5" s="57" t="s">
        <v>23</v>
      </c>
      <c r="C5" s="123">
        <f>SUM(C6:C11)</f>
        <v>804975</v>
      </c>
      <c r="D5" s="123">
        <f aca="true" t="shared" si="0" ref="D5:N5">SUM(D6:D11)</f>
        <v>1096888</v>
      </c>
      <c r="E5" s="123">
        <f t="shared" si="0"/>
        <v>1169908</v>
      </c>
      <c r="F5" s="123">
        <f t="shared" si="0"/>
        <v>970566</v>
      </c>
      <c r="G5" s="123">
        <f t="shared" si="0"/>
        <v>1215945</v>
      </c>
      <c r="H5" s="123">
        <f t="shared" si="0"/>
        <v>1126992</v>
      </c>
      <c r="I5" s="123">
        <f t="shared" si="0"/>
        <v>934906</v>
      </c>
      <c r="J5" s="123">
        <f t="shared" si="0"/>
        <v>763204</v>
      </c>
      <c r="K5" s="123">
        <f t="shared" si="0"/>
        <v>961718</v>
      </c>
      <c r="L5" s="123">
        <f t="shared" si="0"/>
        <v>1006833</v>
      </c>
      <c r="M5" s="123">
        <f t="shared" si="0"/>
        <v>873981</v>
      </c>
      <c r="N5" s="123">
        <f t="shared" si="0"/>
        <v>1435820</v>
      </c>
      <c r="O5" s="123">
        <f>SUM(C5:N5)</f>
        <v>12361736</v>
      </c>
    </row>
    <row r="6" spans="1:15" s="18" customFormat="1" ht="24.75" customHeight="1">
      <c r="A6" s="283"/>
      <c r="B6" s="116" t="s">
        <v>17</v>
      </c>
      <c r="C6" s="83">
        <v>91897</v>
      </c>
      <c r="D6" s="83">
        <v>82062</v>
      </c>
      <c r="E6" s="83">
        <v>103862</v>
      </c>
      <c r="F6" s="83">
        <v>92329</v>
      </c>
      <c r="G6" s="83">
        <v>97558</v>
      </c>
      <c r="H6" s="83">
        <v>148177</v>
      </c>
      <c r="I6" s="83">
        <v>68976</v>
      </c>
      <c r="J6" s="83">
        <v>48122</v>
      </c>
      <c r="K6" s="83">
        <v>62443</v>
      </c>
      <c r="L6" s="83">
        <v>140046</v>
      </c>
      <c r="M6" s="83">
        <v>64774</v>
      </c>
      <c r="N6" s="83">
        <v>95470</v>
      </c>
      <c r="O6" s="84">
        <f aca="true" t="shared" si="1" ref="O6:O11">SUM(C6:N6)</f>
        <v>1095716</v>
      </c>
    </row>
    <row r="7" spans="1:15" s="18" customFormat="1" ht="24.75" customHeight="1">
      <c r="A7" s="283"/>
      <c r="B7" s="240" t="s">
        <v>26</v>
      </c>
      <c r="C7" s="241">
        <v>497270</v>
      </c>
      <c r="D7" s="241">
        <v>749736</v>
      </c>
      <c r="E7" s="241">
        <v>769004</v>
      </c>
      <c r="F7" s="241">
        <v>538048</v>
      </c>
      <c r="G7" s="241">
        <v>704374</v>
      </c>
      <c r="H7" s="241">
        <v>662925</v>
      </c>
      <c r="I7" s="241">
        <v>523930</v>
      </c>
      <c r="J7" s="241">
        <v>445215</v>
      </c>
      <c r="K7" s="241">
        <v>506329</v>
      </c>
      <c r="L7" s="241">
        <v>495560</v>
      </c>
      <c r="M7" s="241">
        <v>498866</v>
      </c>
      <c r="N7" s="241">
        <v>905205</v>
      </c>
      <c r="O7" s="86">
        <f t="shared" si="1"/>
        <v>7296462</v>
      </c>
    </row>
    <row r="8" spans="1:15" s="18" customFormat="1" ht="24.75" customHeight="1">
      <c r="A8" s="283"/>
      <c r="B8" s="240" t="s">
        <v>18</v>
      </c>
      <c r="C8" s="241">
        <v>2467</v>
      </c>
      <c r="D8" s="241">
        <v>6413</v>
      </c>
      <c r="E8" s="241">
        <v>10295</v>
      </c>
      <c r="F8" s="241">
        <v>13281</v>
      </c>
      <c r="G8" s="241">
        <v>12592</v>
      </c>
      <c r="H8" s="241">
        <v>11921</v>
      </c>
      <c r="I8" s="241">
        <v>13427</v>
      </c>
      <c r="J8" s="241">
        <v>10817</v>
      </c>
      <c r="K8" s="241">
        <v>13540</v>
      </c>
      <c r="L8" s="241">
        <v>11951</v>
      </c>
      <c r="M8" s="241">
        <v>31826</v>
      </c>
      <c r="N8" s="241">
        <v>16258</v>
      </c>
      <c r="O8" s="86">
        <f t="shared" si="1"/>
        <v>154788</v>
      </c>
    </row>
    <row r="9" spans="1:15" s="18" customFormat="1" ht="24.75" customHeight="1">
      <c r="A9" s="283"/>
      <c r="B9" s="240" t="s">
        <v>20</v>
      </c>
      <c r="C9" s="241">
        <v>84249</v>
      </c>
      <c r="D9" s="241">
        <v>55244</v>
      </c>
      <c r="E9" s="241">
        <v>112504</v>
      </c>
      <c r="F9" s="241">
        <v>124279</v>
      </c>
      <c r="G9" s="241">
        <v>144615</v>
      </c>
      <c r="H9" s="241">
        <v>114571</v>
      </c>
      <c r="I9" s="241">
        <v>138491</v>
      </c>
      <c r="J9" s="241">
        <v>84334</v>
      </c>
      <c r="K9" s="241">
        <v>147741</v>
      </c>
      <c r="L9" s="241">
        <v>114996</v>
      </c>
      <c r="M9" s="241">
        <v>70485</v>
      </c>
      <c r="N9" s="241">
        <v>138539</v>
      </c>
      <c r="O9" s="86">
        <f t="shared" si="1"/>
        <v>1330048</v>
      </c>
    </row>
    <row r="10" spans="1:15" ht="24.75" customHeight="1">
      <c r="A10" s="283"/>
      <c r="B10" s="117" t="s">
        <v>21</v>
      </c>
      <c r="C10" s="85">
        <v>81048</v>
      </c>
      <c r="D10" s="85">
        <v>137814</v>
      </c>
      <c r="E10" s="85">
        <v>102508</v>
      </c>
      <c r="F10" s="85">
        <v>135951</v>
      </c>
      <c r="G10" s="85">
        <v>148564</v>
      </c>
      <c r="H10" s="85">
        <v>139508</v>
      </c>
      <c r="I10" s="85">
        <v>110432</v>
      </c>
      <c r="J10" s="85">
        <v>106201</v>
      </c>
      <c r="K10" s="85">
        <v>133346</v>
      </c>
      <c r="L10" s="85">
        <v>146235</v>
      </c>
      <c r="M10" s="85">
        <v>128024</v>
      </c>
      <c r="N10" s="85">
        <v>189046</v>
      </c>
      <c r="O10" s="86">
        <f t="shared" si="1"/>
        <v>1558677</v>
      </c>
    </row>
    <row r="11" spans="1:15" ht="24.75" customHeight="1" thickBot="1">
      <c r="A11" s="283"/>
      <c r="B11" s="118" t="s">
        <v>22</v>
      </c>
      <c r="C11" s="87">
        <v>48044</v>
      </c>
      <c r="D11" s="87">
        <v>65619</v>
      </c>
      <c r="E11" s="87">
        <v>71735</v>
      </c>
      <c r="F11" s="87">
        <v>66678</v>
      </c>
      <c r="G11" s="87">
        <v>108242</v>
      </c>
      <c r="H11" s="87">
        <v>49890</v>
      </c>
      <c r="I11" s="87">
        <v>79650</v>
      </c>
      <c r="J11" s="87">
        <v>68515</v>
      </c>
      <c r="K11" s="87">
        <v>98319</v>
      </c>
      <c r="L11" s="87">
        <v>98045</v>
      </c>
      <c r="M11" s="87">
        <v>80006</v>
      </c>
      <c r="N11" s="87">
        <v>91302</v>
      </c>
      <c r="O11" s="88">
        <f t="shared" si="1"/>
        <v>926045</v>
      </c>
    </row>
    <row r="12" spans="1:15" ht="13.5" thickBot="1">
      <c r="A12" s="283"/>
      <c r="B12" s="57" t="s">
        <v>25</v>
      </c>
      <c r="C12" s="124">
        <f>SUM(C13:C14)</f>
        <v>138992</v>
      </c>
      <c r="D12" s="124">
        <f aca="true" t="shared" si="2" ref="D12:O12">SUM(D13:D14)</f>
        <v>163326</v>
      </c>
      <c r="E12" s="124">
        <f t="shared" si="2"/>
        <v>233910</v>
      </c>
      <c r="F12" s="124">
        <f t="shared" si="2"/>
        <v>185285</v>
      </c>
      <c r="G12" s="124">
        <f t="shared" si="2"/>
        <v>238950</v>
      </c>
      <c r="H12" s="124">
        <f t="shared" si="2"/>
        <v>247410</v>
      </c>
      <c r="I12" s="124">
        <f t="shared" si="2"/>
        <v>261457</v>
      </c>
      <c r="J12" s="124">
        <f t="shared" si="2"/>
        <v>164412</v>
      </c>
      <c r="K12" s="124">
        <f t="shared" si="2"/>
        <v>142499</v>
      </c>
      <c r="L12" s="124">
        <f t="shared" si="2"/>
        <v>146133</v>
      </c>
      <c r="M12" s="124">
        <f t="shared" si="2"/>
        <v>220963</v>
      </c>
      <c r="N12" s="124">
        <f t="shared" si="2"/>
        <v>175844</v>
      </c>
      <c r="O12" s="124">
        <f t="shared" si="2"/>
        <v>2319181</v>
      </c>
    </row>
    <row r="13" spans="1:15" ht="24.75" customHeight="1">
      <c r="A13" s="283"/>
      <c r="B13" s="114" t="s">
        <v>18</v>
      </c>
      <c r="C13" s="83">
        <v>94422</v>
      </c>
      <c r="D13" s="83">
        <v>119892</v>
      </c>
      <c r="E13" s="83">
        <v>173369</v>
      </c>
      <c r="F13" s="83">
        <v>163004</v>
      </c>
      <c r="G13" s="83">
        <v>116984</v>
      </c>
      <c r="H13" s="83">
        <v>168340</v>
      </c>
      <c r="I13" s="83">
        <v>196285</v>
      </c>
      <c r="J13" s="83">
        <v>134371</v>
      </c>
      <c r="K13" s="83">
        <v>124453</v>
      </c>
      <c r="L13" s="83">
        <v>100104</v>
      </c>
      <c r="M13" s="83">
        <v>163811</v>
      </c>
      <c r="N13" s="83">
        <v>150712</v>
      </c>
      <c r="O13" s="84">
        <f>SUM(C13:N13)</f>
        <v>1705747</v>
      </c>
    </row>
    <row r="14" spans="1:15" ht="24.75" customHeight="1" thickBot="1">
      <c r="A14" s="283"/>
      <c r="B14" s="112" t="s">
        <v>27</v>
      </c>
      <c r="C14" s="87">
        <v>44570</v>
      </c>
      <c r="D14" s="87">
        <v>43434</v>
      </c>
      <c r="E14" s="87">
        <v>60541</v>
      </c>
      <c r="F14" s="87">
        <v>22281</v>
      </c>
      <c r="G14" s="87">
        <v>121966</v>
      </c>
      <c r="H14" s="87">
        <v>79070</v>
      </c>
      <c r="I14" s="87">
        <v>65172</v>
      </c>
      <c r="J14" s="87">
        <v>30041</v>
      </c>
      <c r="K14" s="87">
        <v>18046</v>
      </c>
      <c r="L14" s="87">
        <v>46029</v>
      </c>
      <c r="M14" s="87">
        <v>57152</v>
      </c>
      <c r="N14" s="87">
        <v>25132</v>
      </c>
      <c r="O14" s="88">
        <f>SUM(C14:N14)</f>
        <v>613434</v>
      </c>
    </row>
    <row r="15" spans="1:15" ht="24.75" customHeight="1" thickBot="1">
      <c r="A15" s="284"/>
      <c r="B15" s="92" t="s">
        <v>0</v>
      </c>
      <c r="C15" s="81">
        <f aca="true" t="shared" si="3" ref="C15:N15">C5+C12</f>
        <v>943967</v>
      </c>
      <c r="D15" s="81">
        <f t="shared" si="3"/>
        <v>1260214</v>
      </c>
      <c r="E15" s="81">
        <f t="shared" si="3"/>
        <v>1403818</v>
      </c>
      <c r="F15" s="81">
        <f t="shared" si="3"/>
        <v>1155851</v>
      </c>
      <c r="G15" s="81">
        <f t="shared" si="3"/>
        <v>1454895</v>
      </c>
      <c r="H15" s="81">
        <f t="shared" si="3"/>
        <v>1374402</v>
      </c>
      <c r="I15" s="81">
        <f t="shared" si="3"/>
        <v>1196363</v>
      </c>
      <c r="J15" s="81">
        <f t="shared" si="3"/>
        <v>927616</v>
      </c>
      <c r="K15" s="81">
        <f t="shared" si="3"/>
        <v>1104217</v>
      </c>
      <c r="L15" s="81">
        <f t="shared" si="3"/>
        <v>1152966</v>
      </c>
      <c r="M15" s="81">
        <f t="shared" si="3"/>
        <v>1094944</v>
      </c>
      <c r="N15" s="81">
        <f t="shared" si="3"/>
        <v>1611664</v>
      </c>
      <c r="O15" s="82">
        <f>SUM(C15:N15)</f>
        <v>14680917</v>
      </c>
    </row>
    <row r="16" spans="1:15" ht="13.5" thickBot="1">
      <c r="A16" s="282" t="s">
        <v>28</v>
      </c>
      <c r="B16" s="29" t="s">
        <v>37</v>
      </c>
      <c r="C16" s="124">
        <f>C20+C21</f>
        <v>213</v>
      </c>
      <c r="D16" s="124">
        <f aca="true" t="shared" si="4" ref="D16:O16">D20+D21</f>
        <v>141</v>
      </c>
      <c r="E16" s="124">
        <f t="shared" si="4"/>
        <v>179</v>
      </c>
      <c r="F16" s="124">
        <f t="shared" si="4"/>
        <v>160</v>
      </c>
      <c r="G16" s="124">
        <f t="shared" si="4"/>
        <v>190</v>
      </c>
      <c r="H16" s="124">
        <f t="shared" si="4"/>
        <v>214</v>
      </c>
      <c r="I16" s="124">
        <f t="shared" si="4"/>
        <v>186</v>
      </c>
      <c r="J16" s="124">
        <f t="shared" si="4"/>
        <v>158</v>
      </c>
      <c r="K16" s="124">
        <f t="shared" si="4"/>
        <v>190</v>
      </c>
      <c r="L16" s="124">
        <f t="shared" si="4"/>
        <v>156</v>
      </c>
      <c r="M16" s="124">
        <f t="shared" si="4"/>
        <v>201</v>
      </c>
      <c r="N16" s="124">
        <f t="shared" si="4"/>
        <v>154</v>
      </c>
      <c r="O16" s="124">
        <f t="shared" si="4"/>
        <v>2142</v>
      </c>
    </row>
    <row r="17" spans="1:15" ht="24.75" customHeight="1">
      <c r="A17" s="283"/>
      <c r="B17" s="114" t="s">
        <v>19</v>
      </c>
      <c r="C17" s="93">
        <v>91</v>
      </c>
      <c r="D17" s="93">
        <v>9</v>
      </c>
      <c r="E17" s="93">
        <v>12</v>
      </c>
      <c r="F17" s="93">
        <v>13</v>
      </c>
      <c r="G17" s="93">
        <v>10</v>
      </c>
      <c r="H17" s="93">
        <v>17</v>
      </c>
      <c r="I17" s="93">
        <v>18</v>
      </c>
      <c r="J17" s="93">
        <v>4</v>
      </c>
      <c r="K17" s="93">
        <v>6</v>
      </c>
      <c r="L17" s="93">
        <v>6</v>
      </c>
      <c r="M17" s="93">
        <v>7</v>
      </c>
      <c r="N17" s="93">
        <v>8</v>
      </c>
      <c r="O17" s="94">
        <f>SUM(C17:N17)</f>
        <v>201</v>
      </c>
    </row>
    <row r="18" spans="1:15" ht="24.75" customHeight="1">
      <c r="A18" s="283"/>
      <c r="B18" s="113" t="s">
        <v>29</v>
      </c>
      <c r="C18" s="95">
        <v>0</v>
      </c>
      <c r="D18" s="95">
        <v>2</v>
      </c>
      <c r="E18" s="95">
        <v>2</v>
      </c>
      <c r="F18" s="95">
        <v>0</v>
      </c>
      <c r="G18" s="95">
        <v>1</v>
      </c>
      <c r="H18" s="95">
        <v>1</v>
      </c>
      <c r="I18" s="95">
        <v>2</v>
      </c>
      <c r="J18" s="95">
        <v>3</v>
      </c>
      <c r="K18" s="95">
        <v>2</v>
      </c>
      <c r="L18" s="95">
        <v>0</v>
      </c>
      <c r="M18" s="95">
        <v>0</v>
      </c>
      <c r="N18" s="95">
        <v>2</v>
      </c>
      <c r="O18" s="96">
        <f>SUM(C18:N18)</f>
        <v>15</v>
      </c>
    </row>
    <row r="19" spans="1:15" ht="24.75" customHeight="1" thickBot="1">
      <c r="A19" s="283"/>
      <c r="B19" s="122" t="s">
        <v>30</v>
      </c>
      <c r="C19" s="97">
        <v>103</v>
      </c>
      <c r="D19" s="97">
        <v>105</v>
      </c>
      <c r="E19" s="97">
        <v>145</v>
      </c>
      <c r="F19" s="97">
        <v>124</v>
      </c>
      <c r="G19" s="97">
        <v>150</v>
      </c>
      <c r="H19" s="97">
        <v>164</v>
      </c>
      <c r="I19" s="97">
        <v>142</v>
      </c>
      <c r="J19" s="97">
        <v>134</v>
      </c>
      <c r="K19" s="97">
        <v>166</v>
      </c>
      <c r="L19" s="97">
        <v>127</v>
      </c>
      <c r="M19" s="97">
        <v>172</v>
      </c>
      <c r="N19" s="97">
        <v>124</v>
      </c>
      <c r="O19" s="98">
        <f>SUM(C19:N19)</f>
        <v>1656</v>
      </c>
    </row>
    <row r="20" spans="1:15" ht="24.75" customHeight="1" thickBot="1">
      <c r="A20" s="283"/>
      <c r="B20" s="25" t="s">
        <v>31</v>
      </c>
      <c r="C20" s="99">
        <f>SUM(C17:C19)</f>
        <v>194</v>
      </c>
      <c r="D20" s="99">
        <f aca="true" t="shared" si="5" ref="D20:O20">SUM(D17:D19)</f>
        <v>116</v>
      </c>
      <c r="E20" s="99">
        <f t="shared" si="5"/>
        <v>159</v>
      </c>
      <c r="F20" s="99">
        <f t="shared" si="5"/>
        <v>137</v>
      </c>
      <c r="G20" s="99">
        <f t="shared" si="5"/>
        <v>161</v>
      </c>
      <c r="H20" s="99">
        <f t="shared" si="5"/>
        <v>182</v>
      </c>
      <c r="I20" s="99">
        <f t="shared" si="5"/>
        <v>162</v>
      </c>
      <c r="J20" s="99">
        <f t="shared" si="5"/>
        <v>141</v>
      </c>
      <c r="K20" s="99">
        <f t="shared" si="5"/>
        <v>174</v>
      </c>
      <c r="L20" s="99">
        <f t="shared" si="5"/>
        <v>133</v>
      </c>
      <c r="M20" s="99">
        <f t="shared" si="5"/>
        <v>179</v>
      </c>
      <c r="N20" s="99">
        <f t="shared" si="5"/>
        <v>134</v>
      </c>
      <c r="O20" s="103">
        <f t="shared" si="5"/>
        <v>1872</v>
      </c>
    </row>
    <row r="21" spans="1:15" ht="24.75" customHeight="1" thickBot="1">
      <c r="A21" s="283"/>
      <c r="B21" s="25" t="s">
        <v>32</v>
      </c>
      <c r="C21" s="101">
        <v>19</v>
      </c>
      <c r="D21" s="101">
        <v>25</v>
      </c>
      <c r="E21" s="101">
        <v>20</v>
      </c>
      <c r="F21" s="101">
        <v>23</v>
      </c>
      <c r="G21" s="101">
        <v>29</v>
      </c>
      <c r="H21" s="101">
        <v>32</v>
      </c>
      <c r="I21" s="101">
        <v>24</v>
      </c>
      <c r="J21" s="101">
        <v>17</v>
      </c>
      <c r="K21" s="101">
        <v>16</v>
      </c>
      <c r="L21" s="101">
        <v>23</v>
      </c>
      <c r="M21" s="101">
        <v>22</v>
      </c>
      <c r="N21" s="101">
        <v>20</v>
      </c>
      <c r="O21" s="102">
        <f>SUM(C21:N21)</f>
        <v>270</v>
      </c>
    </row>
    <row r="22" spans="1:15" ht="24.75" customHeight="1" thickBot="1">
      <c r="A22" s="283"/>
      <c r="B22" s="29" t="s">
        <v>33</v>
      </c>
      <c r="C22" s="99">
        <f>SUM(C23:C25)</f>
        <v>259</v>
      </c>
      <c r="D22" s="99">
        <f aca="true" t="shared" si="6" ref="D22:O22">SUM(D23:D25)</f>
        <v>370</v>
      </c>
      <c r="E22" s="99">
        <f t="shared" si="6"/>
        <v>449</v>
      </c>
      <c r="F22" s="99">
        <f t="shared" si="6"/>
        <v>415</v>
      </c>
      <c r="G22" s="99">
        <f t="shared" si="6"/>
        <v>274</v>
      </c>
      <c r="H22" s="99">
        <f t="shared" si="6"/>
        <v>475</v>
      </c>
      <c r="I22" s="99">
        <f t="shared" si="6"/>
        <v>475</v>
      </c>
      <c r="J22" s="99">
        <f t="shared" si="6"/>
        <v>408</v>
      </c>
      <c r="K22" s="99">
        <f t="shared" si="6"/>
        <v>388</v>
      </c>
      <c r="L22" s="99">
        <f t="shared" si="6"/>
        <v>308</v>
      </c>
      <c r="M22" s="99">
        <f t="shared" si="6"/>
        <v>405</v>
      </c>
      <c r="N22" s="99">
        <f t="shared" si="6"/>
        <v>358</v>
      </c>
      <c r="O22" s="103">
        <f t="shared" si="6"/>
        <v>4584</v>
      </c>
    </row>
    <row r="23" spans="1:15" ht="24.75" customHeight="1">
      <c r="A23" s="283"/>
      <c r="B23" s="66" t="s">
        <v>19</v>
      </c>
      <c r="C23" s="119">
        <v>23</v>
      </c>
      <c r="D23" s="119">
        <v>48</v>
      </c>
      <c r="E23" s="119">
        <v>35</v>
      </c>
      <c r="F23" s="119">
        <v>70</v>
      </c>
      <c r="G23" s="119">
        <v>36</v>
      </c>
      <c r="H23" s="119">
        <v>92</v>
      </c>
      <c r="I23" s="119">
        <v>62</v>
      </c>
      <c r="J23" s="119">
        <v>18</v>
      </c>
      <c r="K23" s="119">
        <v>29</v>
      </c>
      <c r="L23" s="119">
        <v>14</v>
      </c>
      <c r="M23" s="119">
        <v>36</v>
      </c>
      <c r="N23" s="119">
        <v>36</v>
      </c>
      <c r="O23" s="94">
        <f aca="true" t="shared" si="7" ref="O23:O29">SUM(C23:N23)</f>
        <v>499</v>
      </c>
    </row>
    <row r="24" spans="1:15" ht="24.75" customHeight="1">
      <c r="A24" s="283"/>
      <c r="B24" s="24" t="s">
        <v>29</v>
      </c>
      <c r="C24" s="120">
        <v>0</v>
      </c>
      <c r="D24" s="120">
        <v>13</v>
      </c>
      <c r="E24" s="120">
        <v>0</v>
      </c>
      <c r="F24" s="120">
        <v>0</v>
      </c>
      <c r="G24" s="120">
        <v>1</v>
      </c>
      <c r="H24" s="120">
        <v>6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96">
        <f t="shared" si="7"/>
        <v>20</v>
      </c>
    </row>
    <row r="25" spans="1:15" ht="24.75" customHeight="1" thickBot="1">
      <c r="A25" s="283"/>
      <c r="B25" s="32" t="s">
        <v>30</v>
      </c>
      <c r="C25" s="121">
        <v>236</v>
      </c>
      <c r="D25" s="121">
        <v>309</v>
      </c>
      <c r="E25" s="121">
        <v>414</v>
      </c>
      <c r="F25" s="121">
        <v>345</v>
      </c>
      <c r="G25" s="121">
        <v>237</v>
      </c>
      <c r="H25" s="121">
        <v>377</v>
      </c>
      <c r="I25" s="121">
        <v>413</v>
      </c>
      <c r="J25" s="121">
        <v>390</v>
      </c>
      <c r="K25" s="121">
        <v>359</v>
      </c>
      <c r="L25" s="121">
        <v>294</v>
      </c>
      <c r="M25" s="121">
        <v>369</v>
      </c>
      <c r="N25" s="121">
        <v>322</v>
      </c>
      <c r="O25" s="98">
        <f t="shared" si="7"/>
        <v>4065</v>
      </c>
    </row>
    <row r="26" spans="1:15" ht="24.75" customHeight="1" thickBot="1">
      <c r="A26" s="283"/>
      <c r="B26" s="29" t="s">
        <v>34</v>
      </c>
      <c r="C26" s="99">
        <f aca="true" t="shared" si="8" ref="C26:N26">SUM(C27:C29)</f>
        <v>281</v>
      </c>
      <c r="D26" s="99">
        <f t="shared" si="8"/>
        <v>501</v>
      </c>
      <c r="E26" s="99">
        <f t="shared" si="8"/>
        <v>798</v>
      </c>
      <c r="F26" s="99">
        <f t="shared" si="8"/>
        <v>692</v>
      </c>
      <c r="G26" s="99">
        <f t="shared" si="8"/>
        <v>419</v>
      </c>
      <c r="H26" s="99">
        <f t="shared" si="8"/>
        <v>694</v>
      </c>
      <c r="I26" s="99">
        <f t="shared" si="8"/>
        <v>664</v>
      </c>
      <c r="J26" s="99">
        <f t="shared" si="8"/>
        <v>551</v>
      </c>
      <c r="K26" s="99">
        <f t="shared" si="8"/>
        <v>503</v>
      </c>
      <c r="L26" s="99">
        <f t="shared" si="8"/>
        <v>391</v>
      </c>
      <c r="M26" s="99">
        <f t="shared" si="8"/>
        <v>544</v>
      </c>
      <c r="N26" s="99">
        <f t="shared" si="8"/>
        <v>620</v>
      </c>
      <c r="O26" s="100">
        <f t="shared" si="7"/>
        <v>6658</v>
      </c>
    </row>
    <row r="27" spans="1:15" ht="24.75" customHeight="1">
      <c r="A27" s="283"/>
      <c r="B27" s="66" t="s">
        <v>19</v>
      </c>
      <c r="C27" s="119">
        <v>34</v>
      </c>
      <c r="D27" s="119">
        <v>64</v>
      </c>
      <c r="E27" s="119">
        <v>79</v>
      </c>
      <c r="F27" s="119">
        <v>104</v>
      </c>
      <c r="G27" s="119">
        <v>39</v>
      </c>
      <c r="H27" s="119">
        <v>211</v>
      </c>
      <c r="I27" s="119">
        <v>114</v>
      </c>
      <c r="J27" s="119">
        <v>58</v>
      </c>
      <c r="K27" s="119">
        <v>52</v>
      </c>
      <c r="L27" s="119">
        <v>29</v>
      </c>
      <c r="M27" s="119">
        <v>123</v>
      </c>
      <c r="N27" s="119">
        <v>64</v>
      </c>
      <c r="O27" s="94">
        <f t="shared" si="7"/>
        <v>971</v>
      </c>
    </row>
    <row r="28" spans="1:15" ht="24.75" customHeight="1">
      <c r="A28" s="283"/>
      <c r="B28" s="24" t="s">
        <v>29</v>
      </c>
      <c r="C28" s="120">
        <v>0</v>
      </c>
      <c r="D28" s="120">
        <v>12</v>
      </c>
      <c r="E28" s="120">
        <v>0</v>
      </c>
      <c r="F28" s="120">
        <v>0</v>
      </c>
      <c r="G28" s="120">
        <v>0</v>
      </c>
      <c r="H28" s="120">
        <v>0</v>
      </c>
      <c r="I28" s="120">
        <v>0</v>
      </c>
      <c r="J28" s="120">
        <v>20</v>
      </c>
      <c r="K28" s="120">
        <v>0</v>
      </c>
      <c r="L28" s="120">
        <v>0</v>
      </c>
      <c r="M28" s="120">
        <v>0</v>
      </c>
      <c r="N28" s="120">
        <v>0</v>
      </c>
      <c r="O28" s="96">
        <f t="shared" si="7"/>
        <v>32</v>
      </c>
    </row>
    <row r="29" spans="1:15" ht="24.75" customHeight="1" thickBot="1">
      <c r="A29" s="283"/>
      <c r="B29" s="32" t="s">
        <v>30</v>
      </c>
      <c r="C29" s="121">
        <v>247</v>
      </c>
      <c r="D29" s="121">
        <v>425</v>
      </c>
      <c r="E29" s="121">
        <v>719</v>
      </c>
      <c r="F29" s="121">
        <v>588</v>
      </c>
      <c r="G29" s="121">
        <v>380</v>
      </c>
      <c r="H29" s="121">
        <v>483</v>
      </c>
      <c r="I29" s="121">
        <v>550</v>
      </c>
      <c r="J29" s="121">
        <v>473</v>
      </c>
      <c r="K29" s="121">
        <v>451</v>
      </c>
      <c r="L29" s="121">
        <v>362</v>
      </c>
      <c r="M29" s="121">
        <v>421</v>
      </c>
      <c r="N29" s="121">
        <v>556</v>
      </c>
      <c r="O29" s="98">
        <f t="shared" si="7"/>
        <v>5655</v>
      </c>
    </row>
    <row r="30" spans="1:15" ht="24.75" customHeight="1" thickBot="1">
      <c r="A30" s="283"/>
      <c r="B30" s="29" t="s">
        <v>35</v>
      </c>
      <c r="C30" s="103">
        <f>C34+C35</f>
        <v>138992</v>
      </c>
      <c r="D30" s="103">
        <f aca="true" t="shared" si="9" ref="D30:O30">D34+D35</f>
        <v>163326</v>
      </c>
      <c r="E30" s="103">
        <f t="shared" si="9"/>
        <v>233910</v>
      </c>
      <c r="F30" s="103">
        <f t="shared" si="9"/>
        <v>185285</v>
      </c>
      <c r="G30" s="103">
        <f t="shared" si="9"/>
        <v>238950</v>
      </c>
      <c r="H30" s="103">
        <f t="shared" si="9"/>
        <v>247410</v>
      </c>
      <c r="I30" s="103">
        <f t="shared" si="9"/>
        <v>261457</v>
      </c>
      <c r="J30" s="103">
        <f t="shared" si="9"/>
        <v>164412</v>
      </c>
      <c r="K30" s="103">
        <f t="shared" si="9"/>
        <v>142499</v>
      </c>
      <c r="L30" s="103">
        <f t="shared" si="9"/>
        <v>146133</v>
      </c>
      <c r="M30" s="103">
        <f t="shared" si="9"/>
        <v>220963</v>
      </c>
      <c r="N30" s="103">
        <f t="shared" si="9"/>
        <v>175844</v>
      </c>
      <c r="O30" s="103">
        <f t="shared" si="9"/>
        <v>2319181</v>
      </c>
    </row>
    <row r="31" spans="1:15" ht="24.75" customHeight="1">
      <c r="A31" s="283"/>
      <c r="B31" s="66" t="s">
        <v>19</v>
      </c>
      <c r="C31" s="93">
        <v>14948</v>
      </c>
      <c r="D31" s="93">
        <v>14419</v>
      </c>
      <c r="E31" s="93">
        <v>11354</v>
      </c>
      <c r="F31" s="93">
        <v>28916</v>
      </c>
      <c r="G31" s="93">
        <v>9293</v>
      </c>
      <c r="H31" s="93">
        <v>42313</v>
      </c>
      <c r="I31" s="93">
        <v>31887</v>
      </c>
      <c r="J31" s="93">
        <v>9223</v>
      </c>
      <c r="K31" s="93">
        <v>8049</v>
      </c>
      <c r="L31" s="93">
        <v>5244</v>
      </c>
      <c r="M31" s="93">
        <v>24062</v>
      </c>
      <c r="N31" s="93">
        <v>14238</v>
      </c>
      <c r="O31" s="94">
        <f>SUM(C31:N31)</f>
        <v>213946</v>
      </c>
    </row>
    <row r="32" spans="1:15" ht="24.75" customHeight="1">
      <c r="A32" s="283"/>
      <c r="B32" s="24" t="s">
        <v>29</v>
      </c>
      <c r="C32" s="95">
        <v>0</v>
      </c>
      <c r="D32" s="95">
        <v>2951</v>
      </c>
      <c r="E32" s="95">
        <v>44</v>
      </c>
      <c r="F32" s="95">
        <v>0</v>
      </c>
      <c r="G32" s="95">
        <v>500</v>
      </c>
      <c r="H32" s="95">
        <v>690</v>
      </c>
      <c r="I32" s="95">
        <v>46</v>
      </c>
      <c r="J32" s="95">
        <v>4254</v>
      </c>
      <c r="K32" s="95">
        <v>64</v>
      </c>
      <c r="L32" s="95">
        <v>0</v>
      </c>
      <c r="M32" s="95">
        <v>0</v>
      </c>
      <c r="N32" s="95">
        <v>2576</v>
      </c>
      <c r="O32" s="96">
        <f>SUM(C32:N32)</f>
        <v>11125</v>
      </c>
    </row>
    <row r="33" spans="1:15" ht="24.75" customHeight="1" thickBot="1">
      <c r="A33" s="283"/>
      <c r="B33" s="32" t="s">
        <v>30</v>
      </c>
      <c r="C33" s="97">
        <v>79474</v>
      </c>
      <c r="D33" s="97">
        <v>102522</v>
      </c>
      <c r="E33" s="97">
        <v>161971</v>
      </c>
      <c r="F33" s="97">
        <v>134088</v>
      </c>
      <c r="G33" s="97">
        <v>107191</v>
      </c>
      <c r="H33" s="97">
        <v>125337</v>
      </c>
      <c r="I33" s="97">
        <v>164352</v>
      </c>
      <c r="J33" s="97">
        <v>120894</v>
      </c>
      <c r="K33" s="97">
        <v>116340</v>
      </c>
      <c r="L33" s="97">
        <v>94860</v>
      </c>
      <c r="M33" s="97">
        <v>139749</v>
      </c>
      <c r="N33" s="97">
        <v>133898</v>
      </c>
      <c r="O33" s="98">
        <f>SUM(C33:N33)</f>
        <v>1480676</v>
      </c>
    </row>
    <row r="34" spans="1:15" ht="24.75" customHeight="1" thickBot="1">
      <c r="A34" s="283"/>
      <c r="B34" s="25" t="s">
        <v>38</v>
      </c>
      <c r="C34" s="101">
        <f>SUM(C31:C33)</f>
        <v>94422</v>
      </c>
      <c r="D34" s="101">
        <f aca="true" t="shared" si="10" ref="D34:O34">SUM(D31:D33)</f>
        <v>119892</v>
      </c>
      <c r="E34" s="101">
        <f t="shared" si="10"/>
        <v>173369</v>
      </c>
      <c r="F34" s="101">
        <f t="shared" si="10"/>
        <v>163004</v>
      </c>
      <c r="G34" s="101">
        <f t="shared" si="10"/>
        <v>116984</v>
      </c>
      <c r="H34" s="101">
        <f t="shared" si="10"/>
        <v>168340</v>
      </c>
      <c r="I34" s="101">
        <f t="shared" si="10"/>
        <v>196285</v>
      </c>
      <c r="J34" s="101">
        <f t="shared" si="10"/>
        <v>134371</v>
      </c>
      <c r="K34" s="101">
        <f t="shared" si="10"/>
        <v>124453</v>
      </c>
      <c r="L34" s="101">
        <f t="shared" si="10"/>
        <v>100104</v>
      </c>
      <c r="M34" s="101">
        <f t="shared" si="10"/>
        <v>163811</v>
      </c>
      <c r="N34" s="101">
        <f t="shared" si="10"/>
        <v>150712</v>
      </c>
      <c r="O34" s="101">
        <f t="shared" si="10"/>
        <v>1705747</v>
      </c>
    </row>
    <row r="35" spans="1:15" ht="24.75" customHeight="1" thickBot="1">
      <c r="A35" s="284"/>
      <c r="B35" s="25" t="s">
        <v>36</v>
      </c>
      <c r="C35" s="87">
        <v>44570</v>
      </c>
      <c r="D35" s="87">
        <v>43434</v>
      </c>
      <c r="E35" s="87">
        <v>60541</v>
      </c>
      <c r="F35" s="87">
        <v>22281</v>
      </c>
      <c r="G35" s="87">
        <v>121966</v>
      </c>
      <c r="H35" s="87">
        <v>79070</v>
      </c>
      <c r="I35" s="87">
        <v>65172</v>
      </c>
      <c r="J35" s="87">
        <v>30041</v>
      </c>
      <c r="K35" s="87">
        <v>18046</v>
      </c>
      <c r="L35" s="87">
        <v>46029</v>
      </c>
      <c r="M35" s="87">
        <v>57152</v>
      </c>
      <c r="N35" s="87">
        <v>25132</v>
      </c>
      <c r="O35" s="102">
        <f>SUM(C35:N35)</f>
        <v>613434</v>
      </c>
    </row>
    <row r="36" spans="1:15" ht="34.5" customHeight="1" thickBot="1">
      <c r="A36" s="279" t="s">
        <v>15</v>
      </c>
      <c r="B36" s="57" t="s">
        <v>23</v>
      </c>
      <c r="C36" s="79">
        <f aca="true" t="shared" si="11" ref="C36:O36">SUM(C37:C42)</f>
        <v>1104</v>
      </c>
      <c r="D36" s="79">
        <f t="shared" si="11"/>
        <v>1202</v>
      </c>
      <c r="E36" s="79">
        <f t="shared" si="11"/>
        <v>1189</v>
      </c>
      <c r="F36" s="79">
        <f t="shared" si="11"/>
        <v>1407</v>
      </c>
      <c r="G36" s="79">
        <f t="shared" si="11"/>
        <v>1568</v>
      </c>
      <c r="H36" s="79">
        <f t="shared" si="11"/>
        <v>1442</v>
      </c>
      <c r="I36" s="79">
        <f t="shared" si="11"/>
        <v>1506</v>
      </c>
      <c r="J36" s="79">
        <f t="shared" si="11"/>
        <v>1261</v>
      </c>
      <c r="K36" s="79">
        <f t="shared" si="11"/>
        <v>1269</v>
      </c>
      <c r="L36" s="79">
        <f t="shared" si="11"/>
        <v>1529</v>
      </c>
      <c r="M36" s="79">
        <f t="shared" si="11"/>
        <v>1217</v>
      </c>
      <c r="N36" s="79">
        <f t="shared" si="11"/>
        <v>1358</v>
      </c>
      <c r="O36" s="35">
        <f t="shared" si="11"/>
        <v>16052</v>
      </c>
    </row>
    <row r="37" spans="1:15" ht="24.75" customHeight="1">
      <c r="A37" s="280"/>
      <c r="B37" s="116" t="s">
        <v>17</v>
      </c>
      <c r="C37" s="89">
        <v>82</v>
      </c>
      <c r="D37" s="89">
        <v>63</v>
      </c>
      <c r="E37" s="89">
        <v>78</v>
      </c>
      <c r="F37" s="89">
        <v>81</v>
      </c>
      <c r="G37" s="89">
        <v>116</v>
      </c>
      <c r="H37" s="89">
        <v>67</v>
      </c>
      <c r="I37" s="89">
        <v>110</v>
      </c>
      <c r="J37" s="89">
        <v>78</v>
      </c>
      <c r="K37" s="89">
        <v>71</v>
      </c>
      <c r="L37" s="89">
        <v>77</v>
      </c>
      <c r="M37" s="89">
        <v>85</v>
      </c>
      <c r="N37" s="89">
        <v>68</v>
      </c>
      <c r="O37" s="74">
        <f aca="true" t="shared" si="12" ref="O37:O42">SUM(C37:N37)</f>
        <v>976</v>
      </c>
    </row>
    <row r="38" spans="1:15" ht="24.75" customHeight="1">
      <c r="A38" s="280"/>
      <c r="B38" s="240" t="s">
        <v>26</v>
      </c>
      <c r="C38" s="90">
        <v>579</v>
      </c>
      <c r="D38" s="90">
        <v>666</v>
      </c>
      <c r="E38" s="90">
        <v>685</v>
      </c>
      <c r="F38" s="90">
        <v>733</v>
      </c>
      <c r="G38" s="90">
        <v>799</v>
      </c>
      <c r="H38" s="90">
        <v>796</v>
      </c>
      <c r="I38" s="90">
        <v>761</v>
      </c>
      <c r="J38" s="90">
        <v>634</v>
      </c>
      <c r="K38" s="90">
        <v>620</v>
      </c>
      <c r="L38" s="90">
        <v>684</v>
      </c>
      <c r="M38" s="90">
        <v>628</v>
      </c>
      <c r="N38" s="90">
        <v>678</v>
      </c>
      <c r="O38" s="75">
        <f t="shared" si="12"/>
        <v>8263</v>
      </c>
    </row>
    <row r="39" spans="1:15" ht="24.75" customHeight="1">
      <c r="A39" s="280"/>
      <c r="B39" s="240" t="s">
        <v>18</v>
      </c>
      <c r="C39" s="90">
        <v>17</v>
      </c>
      <c r="D39" s="90">
        <v>15</v>
      </c>
      <c r="E39" s="90">
        <v>17</v>
      </c>
      <c r="F39" s="90">
        <v>10</v>
      </c>
      <c r="G39" s="90">
        <v>20</v>
      </c>
      <c r="H39" s="90">
        <v>24</v>
      </c>
      <c r="I39" s="90">
        <v>25</v>
      </c>
      <c r="J39" s="90">
        <v>13</v>
      </c>
      <c r="K39" s="90">
        <v>13</v>
      </c>
      <c r="L39" s="90">
        <v>16</v>
      </c>
      <c r="M39" s="90">
        <v>14</v>
      </c>
      <c r="N39" s="90">
        <v>7</v>
      </c>
      <c r="O39" s="75">
        <f t="shared" si="12"/>
        <v>191</v>
      </c>
    </row>
    <row r="40" spans="1:15" ht="24.75" customHeight="1">
      <c r="A40" s="280"/>
      <c r="B40" s="240" t="s">
        <v>20</v>
      </c>
      <c r="C40" s="90">
        <v>123</v>
      </c>
      <c r="D40" s="90">
        <v>116</v>
      </c>
      <c r="E40" s="90">
        <v>127</v>
      </c>
      <c r="F40" s="90">
        <v>171</v>
      </c>
      <c r="G40" s="90">
        <v>185</v>
      </c>
      <c r="H40" s="90">
        <v>167</v>
      </c>
      <c r="I40" s="90">
        <v>183</v>
      </c>
      <c r="J40" s="90">
        <v>134</v>
      </c>
      <c r="K40" s="90">
        <v>176</v>
      </c>
      <c r="L40" s="90">
        <v>199</v>
      </c>
      <c r="M40" s="90">
        <v>137</v>
      </c>
      <c r="N40" s="90">
        <v>141</v>
      </c>
      <c r="O40" s="75">
        <f t="shared" si="12"/>
        <v>1859</v>
      </c>
    </row>
    <row r="41" spans="1:15" ht="24.75" customHeight="1">
      <c r="A41" s="280"/>
      <c r="B41" s="117" t="s">
        <v>21</v>
      </c>
      <c r="C41" s="90">
        <v>170</v>
      </c>
      <c r="D41" s="90">
        <v>202</v>
      </c>
      <c r="E41" s="90">
        <v>148</v>
      </c>
      <c r="F41" s="90">
        <v>259</v>
      </c>
      <c r="G41" s="90">
        <v>270</v>
      </c>
      <c r="H41" s="90">
        <v>251</v>
      </c>
      <c r="I41" s="90">
        <v>238</v>
      </c>
      <c r="J41" s="90">
        <v>222</v>
      </c>
      <c r="K41" s="90">
        <v>207</v>
      </c>
      <c r="L41" s="90">
        <v>302</v>
      </c>
      <c r="M41" s="90">
        <v>191</v>
      </c>
      <c r="N41" s="90">
        <v>289</v>
      </c>
      <c r="O41" s="75">
        <f t="shared" si="12"/>
        <v>2749</v>
      </c>
    </row>
    <row r="42" spans="1:15" ht="24.75" customHeight="1" thickBot="1">
      <c r="A42" s="281"/>
      <c r="B42" s="118" t="s">
        <v>22</v>
      </c>
      <c r="C42" s="91">
        <v>133</v>
      </c>
      <c r="D42" s="91">
        <v>140</v>
      </c>
      <c r="E42" s="91">
        <v>134</v>
      </c>
      <c r="F42" s="91">
        <v>153</v>
      </c>
      <c r="G42" s="91">
        <v>178</v>
      </c>
      <c r="H42" s="91">
        <v>137</v>
      </c>
      <c r="I42" s="91">
        <v>189</v>
      </c>
      <c r="J42" s="91">
        <v>180</v>
      </c>
      <c r="K42" s="91">
        <v>182</v>
      </c>
      <c r="L42" s="91">
        <v>251</v>
      </c>
      <c r="M42" s="91">
        <v>162</v>
      </c>
      <c r="N42" s="91">
        <v>175</v>
      </c>
      <c r="O42" s="76">
        <f t="shared" si="12"/>
        <v>2014</v>
      </c>
    </row>
    <row r="43" spans="1:6" s="3" customFormat="1" ht="12.75">
      <c r="A43" s="130" t="s">
        <v>143</v>
      </c>
      <c r="F43" s="130" t="s">
        <v>16</v>
      </c>
    </row>
  </sheetData>
  <sheetProtection/>
  <mergeCells count="4">
    <mergeCell ref="A36:A42"/>
    <mergeCell ref="A5:A15"/>
    <mergeCell ref="C3:O3"/>
    <mergeCell ref="A16:A35"/>
  </mergeCells>
  <printOptions horizont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  <rowBreaks count="1" manualBreakCount="1">
    <brk id="20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H23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140625" style="129" customWidth="1"/>
    <col min="2" max="8" width="12.421875" style="2" customWidth="1"/>
    <col min="9" max="16384" width="9.140625" style="2" customWidth="1"/>
  </cols>
  <sheetData>
    <row r="1" spans="1:8" s="3" customFormat="1" ht="19.5" customHeight="1">
      <c r="A1" s="4" t="s">
        <v>160</v>
      </c>
      <c r="B1" s="4"/>
      <c r="C1" s="4"/>
      <c r="D1" s="4"/>
      <c r="E1" s="4"/>
      <c r="F1" s="4"/>
      <c r="G1" s="4"/>
      <c r="H1" s="4"/>
    </row>
    <row r="2" ht="6.75" customHeight="1" thickBot="1"/>
    <row r="3" spans="1:8" s="3" customFormat="1" ht="13.5" customHeight="1" thickBot="1">
      <c r="A3" s="12"/>
      <c r="B3" s="253" t="s">
        <v>39</v>
      </c>
      <c r="C3" s="253"/>
      <c r="D3" s="253"/>
      <c r="E3" s="253"/>
      <c r="F3" s="253"/>
      <c r="G3" s="253"/>
      <c r="H3" s="253"/>
    </row>
    <row r="4" spans="1:8" s="3" customFormat="1" ht="21.75" thickBot="1">
      <c r="A4" s="130"/>
      <c r="B4" s="131" t="s">
        <v>17</v>
      </c>
      <c r="C4" s="131" t="s">
        <v>26</v>
      </c>
      <c r="D4" s="131" t="s">
        <v>18</v>
      </c>
      <c r="E4" s="131" t="s">
        <v>20</v>
      </c>
      <c r="F4" s="131" t="s">
        <v>21</v>
      </c>
      <c r="G4" s="131" t="s">
        <v>40</v>
      </c>
      <c r="H4" s="131" t="s">
        <v>0</v>
      </c>
    </row>
    <row r="5" spans="1:8" s="3" customFormat="1" ht="12.75" customHeight="1">
      <c r="A5" s="114" t="s">
        <v>41</v>
      </c>
      <c r="B5" s="45">
        <v>33841</v>
      </c>
      <c r="C5" s="45">
        <v>488135</v>
      </c>
      <c r="D5" s="45">
        <v>4331</v>
      </c>
      <c r="E5" s="45">
        <v>42849</v>
      </c>
      <c r="F5" s="45">
        <v>83515</v>
      </c>
      <c r="G5" s="132">
        <v>40844</v>
      </c>
      <c r="H5" s="133">
        <f aca="true" t="shared" si="0" ref="H5:H16">SUM(B5:G5)</f>
        <v>693515</v>
      </c>
    </row>
    <row r="6" spans="1:8" s="3" customFormat="1" ht="12.75" customHeight="1">
      <c r="A6" s="113" t="s">
        <v>42</v>
      </c>
      <c r="B6" s="40">
        <v>110967</v>
      </c>
      <c r="C6" s="40">
        <v>658745</v>
      </c>
      <c r="D6" s="40">
        <v>13860</v>
      </c>
      <c r="E6" s="40">
        <v>97153</v>
      </c>
      <c r="F6" s="40">
        <v>93344</v>
      </c>
      <c r="G6" s="134">
        <v>43429</v>
      </c>
      <c r="H6" s="135">
        <f t="shared" si="0"/>
        <v>1017498</v>
      </c>
    </row>
    <row r="7" spans="1:8" s="3" customFormat="1" ht="12.75" customHeight="1">
      <c r="A7" s="113" t="s">
        <v>4</v>
      </c>
      <c r="B7" s="40">
        <v>117712</v>
      </c>
      <c r="C7" s="40">
        <v>754588</v>
      </c>
      <c r="D7" s="40">
        <v>9570</v>
      </c>
      <c r="E7" s="40">
        <v>104066</v>
      </c>
      <c r="F7" s="40">
        <v>92621</v>
      </c>
      <c r="G7" s="134">
        <v>37814</v>
      </c>
      <c r="H7" s="135">
        <f t="shared" si="0"/>
        <v>1116371</v>
      </c>
    </row>
    <row r="8" spans="1:8" s="3" customFormat="1" ht="12.75" customHeight="1">
      <c r="A8" s="113" t="s">
        <v>5</v>
      </c>
      <c r="B8" s="40">
        <v>47794</v>
      </c>
      <c r="C8" s="40">
        <v>576278</v>
      </c>
      <c r="D8" s="40">
        <v>6460</v>
      </c>
      <c r="E8" s="40">
        <v>67967</v>
      </c>
      <c r="F8" s="40">
        <v>49579</v>
      </c>
      <c r="G8" s="134">
        <v>21916</v>
      </c>
      <c r="H8" s="135">
        <f t="shared" si="0"/>
        <v>769994</v>
      </c>
    </row>
    <row r="9" spans="1:8" s="3" customFormat="1" ht="12.75" customHeight="1">
      <c r="A9" s="113" t="s">
        <v>6</v>
      </c>
      <c r="B9" s="40">
        <v>46659</v>
      </c>
      <c r="C9" s="40">
        <v>969894</v>
      </c>
      <c r="D9" s="40">
        <v>10509</v>
      </c>
      <c r="E9" s="40">
        <v>81514</v>
      </c>
      <c r="F9" s="40">
        <v>85992</v>
      </c>
      <c r="G9" s="134">
        <v>30437</v>
      </c>
      <c r="H9" s="135">
        <f t="shared" si="0"/>
        <v>1225005</v>
      </c>
    </row>
    <row r="10" spans="1:8" s="3" customFormat="1" ht="12.75" customHeight="1">
      <c r="A10" s="113" t="s">
        <v>7</v>
      </c>
      <c r="B10" s="40">
        <v>67965</v>
      </c>
      <c r="C10" s="40">
        <v>574083</v>
      </c>
      <c r="D10" s="40">
        <v>5486</v>
      </c>
      <c r="E10" s="40">
        <v>74685</v>
      </c>
      <c r="F10" s="40">
        <v>109610</v>
      </c>
      <c r="G10" s="134">
        <v>29034</v>
      </c>
      <c r="H10" s="135">
        <f t="shared" si="0"/>
        <v>860863</v>
      </c>
    </row>
    <row r="11" spans="1:8" s="3" customFormat="1" ht="12.75" customHeight="1">
      <c r="A11" s="113" t="s">
        <v>8</v>
      </c>
      <c r="B11" s="40">
        <v>25053</v>
      </c>
      <c r="C11" s="40">
        <v>703662</v>
      </c>
      <c r="D11" s="40">
        <v>7628</v>
      </c>
      <c r="E11" s="40">
        <v>85640</v>
      </c>
      <c r="F11" s="40">
        <v>87821</v>
      </c>
      <c r="G11" s="134">
        <v>43246</v>
      </c>
      <c r="H11" s="135">
        <f t="shared" si="0"/>
        <v>953050</v>
      </c>
    </row>
    <row r="12" spans="1:8" s="3" customFormat="1" ht="12.75" customHeight="1">
      <c r="A12" s="113" t="s">
        <v>43</v>
      </c>
      <c r="B12" s="40">
        <v>115678</v>
      </c>
      <c r="C12" s="40">
        <v>493316</v>
      </c>
      <c r="D12" s="40">
        <v>11269</v>
      </c>
      <c r="E12" s="40">
        <v>96050</v>
      </c>
      <c r="F12" s="40">
        <v>100658</v>
      </c>
      <c r="G12" s="134">
        <v>31662</v>
      </c>
      <c r="H12" s="135">
        <f t="shared" si="0"/>
        <v>848633</v>
      </c>
    </row>
    <row r="13" spans="1:8" s="3" customFormat="1" ht="12.75" customHeight="1">
      <c r="A13" s="113" t="s">
        <v>44</v>
      </c>
      <c r="B13" s="40">
        <v>159943</v>
      </c>
      <c r="C13" s="40">
        <v>478329</v>
      </c>
      <c r="D13" s="40">
        <v>-7872</v>
      </c>
      <c r="E13" s="40">
        <v>79703</v>
      </c>
      <c r="F13" s="40">
        <v>82677</v>
      </c>
      <c r="G13" s="134">
        <v>40722</v>
      </c>
      <c r="H13" s="135">
        <f t="shared" si="0"/>
        <v>833502</v>
      </c>
    </row>
    <row r="14" spans="1:8" s="3" customFormat="1" ht="12.75" customHeight="1">
      <c r="A14" s="113" t="s">
        <v>45</v>
      </c>
      <c r="B14" s="40">
        <v>78839</v>
      </c>
      <c r="C14" s="40">
        <v>569222</v>
      </c>
      <c r="D14" s="40">
        <v>6784</v>
      </c>
      <c r="E14" s="40">
        <v>67781</v>
      </c>
      <c r="F14" s="40">
        <v>70498</v>
      </c>
      <c r="G14" s="134">
        <v>29562</v>
      </c>
      <c r="H14" s="135">
        <f t="shared" si="0"/>
        <v>822686</v>
      </c>
    </row>
    <row r="15" spans="1:8" s="3" customFormat="1" ht="12.75" customHeight="1">
      <c r="A15" s="113" t="s">
        <v>46</v>
      </c>
      <c r="B15" s="40">
        <v>47292</v>
      </c>
      <c r="C15" s="40">
        <v>448268</v>
      </c>
      <c r="D15" s="40">
        <v>9584</v>
      </c>
      <c r="E15" s="40">
        <v>37722</v>
      </c>
      <c r="F15" s="40">
        <v>83269</v>
      </c>
      <c r="G15" s="134">
        <v>37194</v>
      </c>
      <c r="H15" s="135">
        <f t="shared" si="0"/>
        <v>663329</v>
      </c>
    </row>
    <row r="16" spans="1:8" s="3" customFormat="1" ht="12.75" customHeight="1" thickBot="1">
      <c r="A16" s="122" t="s">
        <v>47</v>
      </c>
      <c r="B16" s="136">
        <v>116993</v>
      </c>
      <c r="C16" s="136">
        <v>1193705</v>
      </c>
      <c r="D16" s="136">
        <v>8206</v>
      </c>
      <c r="E16" s="136">
        <v>145828</v>
      </c>
      <c r="F16" s="136">
        <v>198211</v>
      </c>
      <c r="G16" s="137">
        <v>64849</v>
      </c>
      <c r="H16" s="138">
        <f t="shared" si="0"/>
        <v>1727792</v>
      </c>
    </row>
    <row r="17" spans="1:8" s="3" customFormat="1" ht="12.75" customHeight="1" thickBot="1">
      <c r="A17" s="29" t="s">
        <v>48</v>
      </c>
      <c r="B17" s="36">
        <f aca="true" t="shared" si="1" ref="B17:H17">SUM(B5:B16)</f>
        <v>968736</v>
      </c>
      <c r="C17" s="36">
        <f t="shared" si="1"/>
        <v>7908225</v>
      </c>
      <c r="D17" s="36">
        <f t="shared" si="1"/>
        <v>85815</v>
      </c>
      <c r="E17" s="36">
        <f t="shared" si="1"/>
        <v>980958</v>
      </c>
      <c r="F17" s="36">
        <f t="shared" si="1"/>
        <v>1137795</v>
      </c>
      <c r="G17" s="36">
        <f t="shared" si="1"/>
        <v>450709</v>
      </c>
      <c r="H17" s="36">
        <f t="shared" si="1"/>
        <v>11532238</v>
      </c>
    </row>
    <row r="18" spans="1:8" s="3" customFormat="1" ht="12.75" customHeight="1">
      <c r="A18" s="114" t="s">
        <v>41</v>
      </c>
      <c r="B18" s="45">
        <v>28923</v>
      </c>
      <c r="C18" s="45">
        <v>326947</v>
      </c>
      <c r="D18" s="45">
        <v>6088</v>
      </c>
      <c r="E18" s="45">
        <v>46598</v>
      </c>
      <c r="F18" s="45">
        <v>51644</v>
      </c>
      <c r="G18" s="132">
        <v>25331</v>
      </c>
      <c r="H18" s="133">
        <f aca="true" t="shared" si="2" ref="H18:H29">SUM(B18:G18)</f>
        <v>485531</v>
      </c>
    </row>
    <row r="19" spans="1:8" s="3" customFormat="1" ht="12.75" customHeight="1">
      <c r="A19" s="113" t="s">
        <v>42</v>
      </c>
      <c r="B19" s="40">
        <v>14117</v>
      </c>
      <c r="C19" s="40">
        <v>341678</v>
      </c>
      <c r="D19" s="40">
        <v>1497</v>
      </c>
      <c r="E19" s="40">
        <v>42997</v>
      </c>
      <c r="F19" s="40">
        <v>80224</v>
      </c>
      <c r="G19" s="134">
        <v>42325</v>
      </c>
      <c r="H19" s="135">
        <f t="shared" si="2"/>
        <v>522838</v>
      </c>
    </row>
    <row r="20" spans="1:8" s="3" customFormat="1" ht="12.75" customHeight="1">
      <c r="A20" s="113" t="s">
        <v>4</v>
      </c>
      <c r="B20" s="40">
        <v>19234</v>
      </c>
      <c r="C20" s="40">
        <v>465227</v>
      </c>
      <c r="D20" s="40">
        <v>7679</v>
      </c>
      <c r="E20" s="40">
        <v>117439</v>
      </c>
      <c r="F20" s="40">
        <v>133936</v>
      </c>
      <c r="G20" s="134">
        <v>45509</v>
      </c>
      <c r="H20" s="135">
        <f t="shared" si="2"/>
        <v>789024</v>
      </c>
    </row>
    <row r="21" spans="1:8" s="3" customFormat="1" ht="12.75" customHeight="1">
      <c r="A21" s="113" t="s">
        <v>5</v>
      </c>
      <c r="B21" s="40">
        <v>37666</v>
      </c>
      <c r="C21" s="40">
        <v>582452</v>
      </c>
      <c r="D21" s="40">
        <v>9846</v>
      </c>
      <c r="E21" s="40">
        <v>61667</v>
      </c>
      <c r="F21" s="40">
        <v>93429</v>
      </c>
      <c r="G21" s="134">
        <v>38413</v>
      </c>
      <c r="H21" s="135">
        <f t="shared" si="2"/>
        <v>823473</v>
      </c>
    </row>
    <row r="22" spans="1:8" s="3" customFormat="1" ht="12.75" customHeight="1">
      <c r="A22" s="113" t="s">
        <v>6</v>
      </c>
      <c r="B22" s="40">
        <v>51795</v>
      </c>
      <c r="C22" s="40">
        <v>470052</v>
      </c>
      <c r="D22" s="40">
        <v>9161</v>
      </c>
      <c r="E22" s="40">
        <v>75425</v>
      </c>
      <c r="F22" s="40">
        <v>129286</v>
      </c>
      <c r="G22" s="134">
        <v>40949</v>
      </c>
      <c r="H22" s="135">
        <f t="shared" si="2"/>
        <v>776668</v>
      </c>
    </row>
    <row r="23" spans="1:8" s="3" customFormat="1" ht="12.75" customHeight="1">
      <c r="A23" s="113" t="s">
        <v>7</v>
      </c>
      <c r="B23" s="40">
        <v>53972</v>
      </c>
      <c r="C23" s="40">
        <v>565146</v>
      </c>
      <c r="D23" s="40">
        <v>23852</v>
      </c>
      <c r="E23" s="40">
        <v>103461</v>
      </c>
      <c r="F23" s="40">
        <v>80216</v>
      </c>
      <c r="G23" s="134">
        <v>63084</v>
      </c>
      <c r="H23" s="135">
        <f t="shared" si="2"/>
        <v>889731</v>
      </c>
    </row>
    <row r="24" spans="1:8" s="3" customFormat="1" ht="12.75" customHeight="1">
      <c r="A24" s="113" t="s">
        <v>8</v>
      </c>
      <c r="B24" s="40">
        <v>42866</v>
      </c>
      <c r="C24" s="40">
        <v>598892</v>
      </c>
      <c r="D24" s="40">
        <v>16155</v>
      </c>
      <c r="E24" s="40">
        <v>89226</v>
      </c>
      <c r="F24" s="40">
        <v>119304</v>
      </c>
      <c r="G24" s="134">
        <v>49007</v>
      </c>
      <c r="H24" s="135">
        <f t="shared" si="2"/>
        <v>915450</v>
      </c>
    </row>
    <row r="25" spans="1:8" s="3" customFormat="1" ht="12.75" customHeight="1">
      <c r="A25" s="113" t="s">
        <v>43</v>
      </c>
      <c r="B25" s="40">
        <v>34614</v>
      </c>
      <c r="C25" s="40">
        <v>514987</v>
      </c>
      <c r="D25" s="40">
        <v>5029</v>
      </c>
      <c r="E25" s="40">
        <v>85111</v>
      </c>
      <c r="F25" s="40">
        <v>109109</v>
      </c>
      <c r="G25" s="134">
        <v>44497</v>
      </c>
      <c r="H25" s="135">
        <f t="shared" si="2"/>
        <v>793347</v>
      </c>
    </row>
    <row r="26" spans="1:8" s="3" customFormat="1" ht="12.75" customHeight="1">
      <c r="A26" s="113" t="s">
        <v>44</v>
      </c>
      <c r="B26" s="40">
        <v>99075</v>
      </c>
      <c r="C26" s="40">
        <v>490453</v>
      </c>
      <c r="D26" s="40">
        <v>10539</v>
      </c>
      <c r="E26" s="40">
        <v>97137</v>
      </c>
      <c r="F26" s="40">
        <v>116664</v>
      </c>
      <c r="G26" s="134">
        <v>50044</v>
      </c>
      <c r="H26" s="135">
        <f t="shared" si="2"/>
        <v>863912</v>
      </c>
    </row>
    <row r="27" spans="1:8" s="3" customFormat="1" ht="12.75" customHeight="1">
      <c r="A27" s="113" t="s">
        <v>45</v>
      </c>
      <c r="B27" s="40">
        <v>45862</v>
      </c>
      <c r="C27" s="40">
        <v>476052</v>
      </c>
      <c r="D27" s="40">
        <v>3048</v>
      </c>
      <c r="E27" s="40">
        <v>76984</v>
      </c>
      <c r="F27" s="40">
        <v>104420</v>
      </c>
      <c r="G27" s="134">
        <v>46532</v>
      </c>
      <c r="H27" s="135">
        <f t="shared" si="2"/>
        <v>752898</v>
      </c>
    </row>
    <row r="28" spans="1:8" s="3" customFormat="1" ht="12.75" customHeight="1">
      <c r="A28" s="113" t="s">
        <v>46</v>
      </c>
      <c r="B28" s="40">
        <v>91361</v>
      </c>
      <c r="C28" s="40">
        <v>469643</v>
      </c>
      <c r="D28" s="40">
        <v>5696</v>
      </c>
      <c r="E28" s="40">
        <v>60906</v>
      </c>
      <c r="F28" s="40">
        <v>90069</v>
      </c>
      <c r="G28" s="134">
        <v>39334</v>
      </c>
      <c r="H28" s="135">
        <f t="shared" si="2"/>
        <v>757009</v>
      </c>
    </row>
    <row r="29" spans="1:8" s="3" customFormat="1" ht="12.75" customHeight="1" thickBot="1">
      <c r="A29" s="122" t="s">
        <v>47</v>
      </c>
      <c r="B29" s="136">
        <v>159923</v>
      </c>
      <c r="C29" s="136">
        <v>788389</v>
      </c>
      <c r="D29" s="136">
        <v>6920</v>
      </c>
      <c r="E29" s="136">
        <v>92951</v>
      </c>
      <c r="F29" s="136">
        <v>194753</v>
      </c>
      <c r="G29" s="137">
        <v>70055</v>
      </c>
      <c r="H29" s="138">
        <f t="shared" si="2"/>
        <v>1312991</v>
      </c>
    </row>
    <row r="30" spans="1:8" s="3" customFormat="1" ht="12.75" customHeight="1" thickBot="1">
      <c r="A30" s="29" t="s">
        <v>49</v>
      </c>
      <c r="B30" s="36">
        <f aca="true" t="shared" si="3" ref="B30:H30">SUM(B18:B29)</f>
        <v>679408</v>
      </c>
      <c r="C30" s="36">
        <f t="shared" si="3"/>
        <v>6089918</v>
      </c>
      <c r="D30" s="36">
        <f t="shared" si="3"/>
        <v>105510</v>
      </c>
      <c r="E30" s="36">
        <f t="shared" si="3"/>
        <v>949902</v>
      </c>
      <c r="F30" s="36">
        <f t="shared" si="3"/>
        <v>1303054</v>
      </c>
      <c r="G30" s="36">
        <f t="shared" si="3"/>
        <v>555080</v>
      </c>
      <c r="H30" s="36">
        <f t="shared" si="3"/>
        <v>9682872</v>
      </c>
    </row>
    <row r="31" spans="1:8" s="3" customFormat="1" ht="12.75" customHeight="1">
      <c r="A31" s="114" t="s">
        <v>41</v>
      </c>
      <c r="B31" s="45">
        <v>40285</v>
      </c>
      <c r="C31" s="45">
        <v>275392</v>
      </c>
      <c r="D31" s="45">
        <v>2519</v>
      </c>
      <c r="E31" s="45">
        <v>29882</v>
      </c>
      <c r="F31" s="45">
        <v>60187</v>
      </c>
      <c r="G31" s="132">
        <v>17251</v>
      </c>
      <c r="H31" s="133">
        <f aca="true" t="shared" si="4" ref="H31:H42">SUM(B31:G31)</f>
        <v>425516</v>
      </c>
    </row>
    <row r="32" spans="1:8" s="3" customFormat="1" ht="12.75" customHeight="1">
      <c r="A32" s="113" t="s">
        <v>42</v>
      </c>
      <c r="B32" s="40">
        <v>41667</v>
      </c>
      <c r="C32" s="40">
        <v>308321</v>
      </c>
      <c r="D32" s="40">
        <v>4854</v>
      </c>
      <c r="E32" s="40">
        <v>38365</v>
      </c>
      <c r="F32" s="40">
        <v>51004</v>
      </c>
      <c r="G32" s="134">
        <v>20866</v>
      </c>
      <c r="H32" s="135">
        <f t="shared" si="4"/>
        <v>465077</v>
      </c>
    </row>
    <row r="33" spans="1:8" s="3" customFormat="1" ht="12.75" customHeight="1">
      <c r="A33" s="113" t="s">
        <v>4</v>
      </c>
      <c r="B33" s="40">
        <v>44182</v>
      </c>
      <c r="C33" s="40">
        <v>437672</v>
      </c>
      <c r="D33" s="40">
        <v>2254</v>
      </c>
      <c r="E33" s="40">
        <v>62613</v>
      </c>
      <c r="F33" s="40">
        <v>103713</v>
      </c>
      <c r="G33" s="134">
        <v>48276</v>
      </c>
      <c r="H33" s="135">
        <f t="shared" si="4"/>
        <v>698710</v>
      </c>
    </row>
    <row r="34" spans="1:8" s="3" customFormat="1" ht="12.75" customHeight="1">
      <c r="A34" s="113" t="s">
        <v>5</v>
      </c>
      <c r="B34" s="40">
        <v>27437</v>
      </c>
      <c r="C34" s="40">
        <v>288110</v>
      </c>
      <c r="D34" s="40">
        <v>13825</v>
      </c>
      <c r="E34" s="40">
        <v>80598</v>
      </c>
      <c r="F34" s="40">
        <v>94359</v>
      </c>
      <c r="G34" s="134">
        <v>29596</v>
      </c>
      <c r="H34" s="135">
        <f t="shared" si="4"/>
        <v>533925</v>
      </c>
    </row>
    <row r="35" spans="1:8" s="3" customFormat="1" ht="12.75" customHeight="1">
      <c r="A35" s="113" t="s">
        <v>6</v>
      </c>
      <c r="B35" s="40">
        <v>28914</v>
      </c>
      <c r="C35" s="40">
        <v>712990</v>
      </c>
      <c r="D35" s="40">
        <v>13811</v>
      </c>
      <c r="E35" s="40">
        <v>73543</v>
      </c>
      <c r="F35" s="40">
        <v>90724</v>
      </c>
      <c r="G35" s="134">
        <v>22202</v>
      </c>
      <c r="H35" s="135">
        <f t="shared" si="4"/>
        <v>942184</v>
      </c>
    </row>
    <row r="36" spans="1:8" s="3" customFormat="1" ht="12.75" customHeight="1">
      <c r="A36" s="113" t="s">
        <v>7</v>
      </c>
      <c r="B36" s="40">
        <v>65981</v>
      </c>
      <c r="C36" s="40">
        <v>327468</v>
      </c>
      <c r="D36" s="40">
        <v>8967</v>
      </c>
      <c r="E36" s="40">
        <v>73947</v>
      </c>
      <c r="F36" s="40">
        <v>53415</v>
      </c>
      <c r="G36" s="134">
        <v>25194</v>
      </c>
      <c r="H36" s="135">
        <f t="shared" si="4"/>
        <v>554972</v>
      </c>
    </row>
    <row r="37" spans="1:8" s="3" customFormat="1" ht="12.75" customHeight="1">
      <c r="A37" s="113" t="s">
        <v>8</v>
      </c>
      <c r="B37" s="40">
        <v>63499</v>
      </c>
      <c r="C37" s="40">
        <v>422799</v>
      </c>
      <c r="D37" s="40">
        <v>18473</v>
      </c>
      <c r="E37" s="40">
        <v>77378</v>
      </c>
      <c r="F37" s="40">
        <v>70777</v>
      </c>
      <c r="G37" s="134">
        <v>25246</v>
      </c>
      <c r="H37" s="135">
        <f t="shared" si="4"/>
        <v>678172</v>
      </c>
    </row>
    <row r="38" spans="1:8" s="3" customFormat="1" ht="12.75" customHeight="1">
      <c r="A38" s="113" t="s">
        <v>43</v>
      </c>
      <c r="B38" s="40">
        <v>59040</v>
      </c>
      <c r="C38" s="40">
        <v>377010</v>
      </c>
      <c r="D38" s="40">
        <v>1845</v>
      </c>
      <c r="E38" s="40">
        <v>97296</v>
      </c>
      <c r="F38" s="40">
        <v>100112</v>
      </c>
      <c r="G38" s="134">
        <v>23735</v>
      </c>
      <c r="H38" s="135">
        <f t="shared" si="4"/>
        <v>659038</v>
      </c>
    </row>
    <row r="39" spans="1:8" s="3" customFormat="1" ht="12.75" customHeight="1">
      <c r="A39" s="113" t="s">
        <v>44</v>
      </c>
      <c r="B39" s="40">
        <v>40974</v>
      </c>
      <c r="C39" s="40">
        <v>388280</v>
      </c>
      <c r="D39" s="40">
        <v>12630</v>
      </c>
      <c r="E39" s="40">
        <v>81673</v>
      </c>
      <c r="F39" s="40">
        <v>118676</v>
      </c>
      <c r="G39" s="134">
        <v>29522</v>
      </c>
      <c r="H39" s="135">
        <f t="shared" si="4"/>
        <v>671755</v>
      </c>
    </row>
    <row r="40" spans="1:8" s="3" customFormat="1" ht="12.75" customHeight="1">
      <c r="A40" s="113" t="s">
        <v>45</v>
      </c>
      <c r="B40" s="40">
        <v>70576</v>
      </c>
      <c r="C40" s="40">
        <v>372002</v>
      </c>
      <c r="D40" s="40">
        <v>3283</v>
      </c>
      <c r="E40" s="40">
        <v>95618</v>
      </c>
      <c r="F40" s="40">
        <v>93000</v>
      </c>
      <c r="G40" s="134">
        <v>44352</v>
      </c>
      <c r="H40" s="135">
        <f t="shared" si="4"/>
        <v>678831</v>
      </c>
    </row>
    <row r="41" spans="1:8" s="3" customFormat="1" ht="12.75" customHeight="1">
      <c r="A41" s="113" t="s">
        <v>46</v>
      </c>
      <c r="B41" s="40">
        <v>34803</v>
      </c>
      <c r="C41" s="40">
        <v>414953</v>
      </c>
      <c r="D41" s="40">
        <v>5526</v>
      </c>
      <c r="E41" s="40">
        <v>66206</v>
      </c>
      <c r="F41" s="40">
        <v>66041</v>
      </c>
      <c r="G41" s="134">
        <v>35707</v>
      </c>
      <c r="H41" s="135">
        <f t="shared" si="4"/>
        <v>623236</v>
      </c>
    </row>
    <row r="42" spans="1:8" s="3" customFormat="1" ht="12.75" customHeight="1" thickBot="1">
      <c r="A42" s="122" t="s">
        <v>47</v>
      </c>
      <c r="B42" s="136">
        <v>80237</v>
      </c>
      <c r="C42" s="136">
        <v>775042</v>
      </c>
      <c r="D42" s="136">
        <v>114660</v>
      </c>
      <c r="E42" s="136">
        <v>98075</v>
      </c>
      <c r="F42" s="136">
        <v>112940</v>
      </c>
      <c r="G42" s="137">
        <v>54550</v>
      </c>
      <c r="H42" s="138">
        <f t="shared" si="4"/>
        <v>1235504</v>
      </c>
    </row>
    <row r="43" spans="1:8" s="3" customFormat="1" ht="12.75" customHeight="1" thickBot="1">
      <c r="A43" s="29" t="s">
        <v>50</v>
      </c>
      <c r="B43" s="36">
        <f aca="true" t="shared" si="5" ref="B43:H43">SUM(B31:B42)</f>
        <v>597595</v>
      </c>
      <c r="C43" s="36">
        <f t="shared" si="5"/>
        <v>5100039</v>
      </c>
      <c r="D43" s="36">
        <f t="shared" si="5"/>
        <v>202647</v>
      </c>
      <c r="E43" s="36">
        <f t="shared" si="5"/>
        <v>875194</v>
      </c>
      <c r="F43" s="36">
        <f t="shared" si="5"/>
        <v>1014948</v>
      </c>
      <c r="G43" s="36">
        <f t="shared" si="5"/>
        <v>376497</v>
      </c>
      <c r="H43" s="36">
        <f t="shared" si="5"/>
        <v>8166920</v>
      </c>
    </row>
    <row r="44" spans="1:8" s="3" customFormat="1" ht="12.75" customHeight="1">
      <c r="A44" s="114" t="s">
        <v>41</v>
      </c>
      <c r="B44" s="45">
        <v>42082</v>
      </c>
      <c r="C44" s="45">
        <v>201619</v>
      </c>
      <c r="D44" s="45">
        <v>6378</v>
      </c>
      <c r="E44" s="45">
        <v>19319</v>
      </c>
      <c r="F44" s="45">
        <v>30883</v>
      </c>
      <c r="G44" s="132">
        <v>15819</v>
      </c>
      <c r="H44" s="133">
        <f aca="true" t="shared" si="6" ref="H44:H55">SUM(B44:G44)</f>
        <v>316100</v>
      </c>
    </row>
    <row r="45" spans="1:8" s="3" customFormat="1" ht="12.75" customHeight="1">
      <c r="A45" s="113" t="s">
        <v>42</v>
      </c>
      <c r="B45" s="40">
        <v>18686</v>
      </c>
      <c r="C45" s="40">
        <v>321758</v>
      </c>
      <c r="D45" s="40">
        <v>8232</v>
      </c>
      <c r="E45" s="40">
        <v>45087</v>
      </c>
      <c r="F45" s="40">
        <v>80242</v>
      </c>
      <c r="G45" s="134">
        <v>21112</v>
      </c>
      <c r="H45" s="135">
        <f t="shared" si="6"/>
        <v>495117</v>
      </c>
    </row>
    <row r="46" spans="1:8" s="3" customFormat="1" ht="12.75" customHeight="1">
      <c r="A46" s="113" t="s">
        <v>4</v>
      </c>
      <c r="B46" s="40">
        <v>30086</v>
      </c>
      <c r="C46" s="40">
        <v>319478</v>
      </c>
      <c r="D46" s="40">
        <v>16819</v>
      </c>
      <c r="E46" s="40">
        <v>71693</v>
      </c>
      <c r="F46" s="40">
        <v>83182</v>
      </c>
      <c r="G46" s="134">
        <v>27549</v>
      </c>
      <c r="H46" s="135">
        <f t="shared" si="6"/>
        <v>548807</v>
      </c>
    </row>
    <row r="47" spans="1:8" s="3" customFormat="1" ht="12.75" customHeight="1">
      <c r="A47" s="113" t="s">
        <v>5</v>
      </c>
      <c r="B47" s="40">
        <v>38398</v>
      </c>
      <c r="C47" s="40">
        <v>313441</v>
      </c>
      <c r="D47" s="40">
        <v>28758</v>
      </c>
      <c r="E47" s="40">
        <v>70726</v>
      </c>
      <c r="F47" s="40">
        <v>62945</v>
      </c>
      <c r="G47" s="134">
        <v>27881</v>
      </c>
      <c r="H47" s="135">
        <f t="shared" si="6"/>
        <v>542149</v>
      </c>
    </row>
    <row r="48" spans="1:8" s="3" customFormat="1" ht="12.75" customHeight="1">
      <c r="A48" s="113" t="s">
        <v>6</v>
      </c>
      <c r="B48" s="40">
        <v>6945</v>
      </c>
      <c r="C48" s="40">
        <v>311670</v>
      </c>
      <c r="D48" s="40">
        <v>22143</v>
      </c>
      <c r="E48" s="40">
        <v>78495</v>
      </c>
      <c r="F48" s="40">
        <v>77362</v>
      </c>
      <c r="G48" s="134">
        <v>46259</v>
      </c>
      <c r="H48" s="135">
        <f t="shared" si="6"/>
        <v>542874</v>
      </c>
    </row>
    <row r="49" spans="1:8" s="3" customFormat="1" ht="12.75" customHeight="1">
      <c r="A49" s="113" t="s">
        <v>7</v>
      </c>
      <c r="B49" s="40">
        <v>53092</v>
      </c>
      <c r="C49" s="40">
        <v>330472</v>
      </c>
      <c r="D49" s="40">
        <v>14202</v>
      </c>
      <c r="E49" s="40">
        <v>100603</v>
      </c>
      <c r="F49" s="40">
        <v>113270</v>
      </c>
      <c r="G49" s="134">
        <v>31861</v>
      </c>
      <c r="H49" s="135">
        <f t="shared" si="6"/>
        <v>643500</v>
      </c>
    </row>
    <row r="50" spans="1:8" s="3" customFormat="1" ht="12.75" customHeight="1">
      <c r="A50" s="113" t="s">
        <v>8</v>
      </c>
      <c r="B50" s="40">
        <v>54042</v>
      </c>
      <c r="C50" s="40">
        <v>345406</v>
      </c>
      <c r="D50" s="40">
        <v>3484</v>
      </c>
      <c r="E50" s="40">
        <v>99876</v>
      </c>
      <c r="F50" s="40">
        <v>73838</v>
      </c>
      <c r="G50" s="134">
        <v>39955</v>
      </c>
      <c r="H50" s="135">
        <f t="shared" si="6"/>
        <v>616601</v>
      </c>
    </row>
    <row r="51" spans="1:8" s="3" customFormat="1" ht="12.75" customHeight="1">
      <c r="A51" s="113" t="s">
        <v>43</v>
      </c>
      <c r="B51" s="40">
        <v>218113</v>
      </c>
      <c r="C51" s="40">
        <v>294855</v>
      </c>
      <c r="D51" s="40">
        <v>5854</v>
      </c>
      <c r="E51" s="40">
        <v>84921</v>
      </c>
      <c r="F51" s="40">
        <v>86137</v>
      </c>
      <c r="G51" s="134">
        <v>36933</v>
      </c>
      <c r="H51" s="135">
        <f t="shared" si="6"/>
        <v>726813</v>
      </c>
    </row>
    <row r="52" spans="1:8" s="3" customFormat="1" ht="12.75" customHeight="1">
      <c r="A52" s="113" t="s">
        <v>44</v>
      </c>
      <c r="B52" s="40">
        <v>53962</v>
      </c>
      <c r="C52" s="40">
        <v>321628</v>
      </c>
      <c r="D52" s="40">
        <v>6333</v>
      </c>
      <c r="E52" s="40">
        <v>91176</v>
      </c>
      <c r="F52" s="40">
        <v>85364</v>
      </c>
      <c r="G52" s="134">
        <v>60575</v>
      </c>
      <c r="H52" s="135">
        <f t="shared" si="6"/>
        <v>619038</v>
      </c>
    </row>
    <row r="53" spans="1:8" s="3" customFormat="1" ht="12.75" customHeight="1">
      <c r="A53" s="113" t="s">
        <v>45</v>
      </c>
      <c r="B53" s="40">
        <v>11865</v>
      </c>
      <c r="C53" s="40">
        <v>348655</v>
      </c>
      <c r="D53" s="40">
        <v>5819</v>
      </c>
      <c r="E53" s="40">
        <v>62157</v>
      </c>
      <c r="F53" s="40">
        <v>74693</v>
      </c>
      <c r="G53" s="134">
        <v>29716</v>
      </c>
      <c r="H53" s="135">
        <f t="shared" si="6"/>
        <v>532905</v>
      </c>
    </row>
    <row r="54" spans="1:8" s="3" customFormat="1" ht="12.75" customHeight="1">
      <c r="A54" s="113" t="s">
        <v>46</v>
      </c>
      <c r="B54" s="40">
        <v>68422</v>
      </c>
      <c r="C54" s="40">
        <v>214521</v>
      </c>
      <c r="D54" s="40">
        <v>18226</v>
      </c>
      <c r="E54" s="40">
        <v>51546</v>
      </c>
      <c r="F54" s="40">
        <v>100804</v>
      </c>
      <c r="G54" s="134">
        <v>44718</v>
      </c>
      <c r="H54" s="135">
        <f t="shared" si="6"/>
        <v>498237</v>
      </c>
    </row>
    <row r="55" spans="1:8" s="3" customFormat="1" ht="12.75" customHeight="1" thickBot="1">
      <c r="A55" s="122" t="s">
        <v>47</v>
      </c>
      <c r="B55" s="136">
        <v>133571</v>
      </c>
      <c r="C55" s="136">
        <v>480743</v>
      </c>
      <c r="D55" s="136">
        <v>6696</v>
      </c>
      <c r="E55" s="136">
        <v>82028</v>
      </c>
      <c r="F55" s="136">
        <v>82982</v>
      </c>
      <c r="G55" s="137">
        <v>37928</v>
      </c>
      <c r="H55" s="138">
        <f t="shared" si="6"/>
        <v>823948</v>
      </c>
    </row>
    <row r="56" spans="1:8" s="3" customFormat="1" ht="12.75" customHeight="1" thickBot="1">
      <c r="A56" s="29" t="s">
        <v>51</v>
      </c>
      <c r="B56" s="36">
        <f aca="true" t="shared" si="7" ref="B56:H56">SUM(B44:B55)</f>
        <v>729264</v>
      </c>
      <c r="C56" s="36">
        <f t="shared" si="7"/>
        <v>3804246</v>
      </c>
      <c r="D56" s="36">
        <f t="shared" si="7"/>
        <v>142944</v>
      </c>
      <c r="E56" s="36">
        <f t="shared" si="7"/>
        <v>857627</v>
      </c>
      <c r="F56" s="36">
        <f t="shared" si="7"/>
        <v>951702</v>
      </c>
      <c r="G56" s="36">
        <f t="shared" si="7"/>
        <v>420306</v>
      </c>
      <c r="H56" s="36">
        <f t="shared" si="7"/>
        <v>6906089</v>
      </c>
    </row>
    <row r="57" spans="1:8" s="3" customFormat="1" ht="12.75" customHeight="1">
      <c r="A57" s="114" t="s">
        <v>41</v>
      </c>
      <c r="B57" s="45">
        <v>6284</v>
      </c>
      <c r="C57" s="45">
        <v>115633</v>
      </c>
      <c r="D57" s="45">
        <v>2651</v>
      </c>
      <c r="E57" s="45">
        <v>18255</v>
      </c>
      <c r="F57" s="45">
        <v>36333</v>
      </c>
      <c r="G57" s="132">
        <v>15521</v>
      </c>
      <c r="H57" s="133">
        <f aca="true" t="shared" si="8" ref="H57:H68">SUM(B57:G57)</f>
        <v>194677</v>
      </c>
    </row>
    <row r="58" spans="1:8" s="3" customFormat="1" ht="12.75" customHeight="1">
      <c r="A58" s="113" t="s">
        <v>42</v>
      </c>
      <c r="B58" s="40">
        <v>14299</v>
      </c>
      <c r="C58" s="40">
        <v>168246</v>
      </c>
      <c r="D58" s="40">
        <v>22247</v>
      </c>
      <c r="E58" s="40">
        <v>54861</v>
      </c>
      <c r="F58" s="40">
        <v>49638</v>
      </c>
      <c r="G58" s="134">
        <v>28203</v>
      </c>
      <c r="H58" s="135">
        <f t="shared" si="8"/>
        <v>337494</v>
      </c>
    </row>
    <row r="59" spans="1:8" s="3" customFormat="1" ht="12.75" customHeight="1">
      <c r="A59" s="113" t="s">
        <v>4</v>
      </c>
      <c r="B59" s="40">
        <v>55736</v>
      </c>
      <c r="C59" s="40">
        <v>299798</v>
      </c>
      <c r="D59" s="40">
        <v>8493</v>
      </c>
      <c r="E59" s="40">
        <v>72512</v>
      </c>
      <c r="F59" s="40">
        <v>59613</v>
      </c>
      <c r="G59" s="134">
        <v>23286</v>
      </c>
      <c r="H59" s="135">
        <f t="shared" si="8"/>
        <v>519438</v>
      </c>
    </row>
    <row r="60" spans="1:8" s="3" customFormat="1" ht="12.75" customHeight="1">
      <c r="A60" s="113" t="s">
        <v>5</v>
      </c>
      <c r="B60" s="40">
        <v>18161</v>
      </c>
      <c r="C60" s="40">
        <v>242049</v>
      </c>
      <c r="D60" s="40">
        <v>3105</v>
      </c>
      <c r="E60" s="40">
        <v>36974</v>
      </c>
      <c r="F60" s="40">
        <v>39885</v>
      </c>
      <c r="G60" s="134">
        <v>23135</v>
      </c>
      <c r="H60" s="135">
        <f t="shared" si="8"/>
        <v>363309</v>
      </c>
    </row>
    <row r="61" spans="1:8" s="3" customFormat="1" ht="12.75" customHeight="1">
      <c r="A61" s="113" t="s">
        <v>6</v>
      </c>
      <c r="B61" s="40">
        <v>22291</v>
      </c>
      <c r="C61" s="40">
        <v>276476</v>
      </c>
      <c r="D61" s="40">
        <v>10121</v>
      </c>
      <c r="E61" s="40">
        <v>65532</v>
      </c>
      <c r="F61" s="40">
        <v>40327</v>
      </c>
      <c r="G61" s="134">
        <v>34508</v>
      </c>
      <c r="H61" s="135">
        <f t="shared" si="8"/>
        <v>449255</v>
      </c>
    </row>
    <row r="62" spans="1:8" s="3" customFormat="1" ht="12.75" customHeight="1">
      <c r="A62" s="113" t="s">
        <v>7</v>
      </c>
      <c r="B62" s="40">
        <v>41974</v>
      </c>
      <c r="C62" s="40">
        <v>290177</v>
      </c>
      <c r="D62" s="40">
        <v>34649</v>
      </c>
      <c r="E62" s="40">
        <v>89296</v>
      </c>
      <c r="F62" s="40">
        <v>65118</v>
      </c>
      <c r="G62" s="134">
        <v>35212</v>
      </c>
      <c r="H62" s="135">
        <f t="shared" si="8"/>
        <v>556426</v>
      </c>
    </row>
    <row r="63" spans="1:8" s="3" customFormat="1" ht="12.75" customHeight="1">
      <c r="A63" s="113" t="s">
        <v>8</v>
      </c>
      <c r="B63" s="40">
        <v>22927</v>
      </c>
      <c r="C63" s="40">
        <v>327421</v>
      </c>
      <c r="D63" s="40">
        <v>7424</v>
      </c>
      <c r="E63" s="40">
        <v>81384</v>
      </c>
      <c r="F63" s="40">
        <v>92153</v>
      </c>
      <c r="G63" s="134">
        <v>28912</v>
      </c>
      <c r="H63" s="135">
        <f t="shared" si="8"/>
        <v>560221</v>
      </c>
    </row>
    <row r="64" spans="1:8" s="3" customFormat="1" ht="12.75" customHeight="1">
      <c r="A64" s="113" t="s">
        <v>43</v>
      </c>
      <c r="B64" s="40">
        <v>23544</v>
      </c>
      <c r="C64" s="40">
        <v>270355</v>
      </c>
      <c r="D64" s="40">
        <v>16708</v>
      </c>
      <c r="E64" s="40">
        <v>60807</v>
      </c>
      <c r="F64" s="40">
        <v>117381</v>
      </c>
      <c r="G64" s="134">
        <v>56396</v>
      </c>
      <c r="H64" s="135">
        <f t="shared" si="8"/>
        <v>545191</v>
      </c>
    </row>
    <row r="65" spans="1:8" s="3" customFormat="1" ht="12.75" customHeight="1">
      <c r="A65" s="113" t="s">
        <v>44</v>
      </c>
      <c r="B65" s="40">
        <v>40691</v>
      </c>
      <c r="C65" s="40">
        <v>249145</v>
      </c>
      <c r="D65" s="40">
        <v>22602</v>
      </c>
      <c r="E65" s="40">
        <v>56152</v>
      </c>
      <c r="F65" s="40">
        <v>111637</v>
      </c>
      <c r="G65" s="134">
        <v>44141</v>
      </c>
      <c r="H65" s="135">
        <f t="shared" si="8"/>
        <v>524368</v>
      </c>
    </row>
    <row r="66" spans="1:8" s="3" customFormat="1" ht="12.75" customHeight="1">
      <c r="A66" s="113" t="s">
        <v>45</v>
      </c>
      <c r="B66" s="40">
        <v>58446</v>
      </c>
      <c r="C66" s="40">
        <v>246597</v>
      </c>
      <c r="D66" s="40">
        <v>3264</v>
      </c>
      <c r="E66" s="40">
        <v>72340</v>
      </c>
      <c r="F66" s="40">
        <v>106744</v>
      </c>
      <c r="G66" s="134">
        <v>42297</v>
      </c>
      <c r="H66" s="135">
        <f t="shared" si="8"/>
        <v>529688</v>
      </c>
    </row>
    <row r="67" spans="1:8" s="3" customFormat="1" ht="12.75" customHeight="1">
      <c r="A67" s="113" t="s">
        <v>46</v>
      </c>
      <c r="B67" s="40">
        <v>74752</v>
      </c>
      <c r="C67" s="40">
        <v>173756</v>
      </c>
      <c r="D67" s="40">
        <v>2214</v>
      </c>
      <c r="E67" s="40">
        <v>42079</v>
      </c>
      <c r="F67" s="40">
        <v>69039</v>
      </c>
      <c r="G67" s="134">
        <v>34894</v>
      </c>
      <c r="H67" s="135">
        <f t="shared" si="8"/>
        <v>396734</v>
      </c>
    </row>
    <row r="68" spans="1:8" s="3" customFormat="1" ht="12.75" customHeight="1" thickBot="1">
      <c r="A68" s="122" t="s">
        <v>47</v>
      </c>
      <c r="B68" s="136">
        <v>46610</v>
      </c>
      <c r="C68" s="136">
        <v>335962</v>
      </c>
      <c r="D68" s="136">
        <v>4980</v>
      </c>
      <c r="E68" s="136">
        <v>43924</v>
      </c>
      <c r="F68" s="136">
        <v>60485</v>
      </c>
      <c r="G68" s="137">
        <v>20240</v>
      </c>
      <c r="H68" s="138">
        <f t="shared" si="8"/>
        <v>512201</v>
      </c>
    </row>
    <row r="69" spans="1:8" s="3" customFormat="1" ht="12.75" customHeight="1" thickBot="1">
      <c r="A69" s="29" t="s">
        <v>52</v>
      </c>
      <c r="B69" s="36">
        <f aca="true" t="shared" si="9" ref="B69:H69">SUM(B57:B68)</f>
        <v>425715</v>
      </c>
      <c r="C69" s="36">
        <f t="shared" si="9"/>
        <v>2995615</v>
      </c>
      <c r="D69" s="36">
        <f t="shared" si="9"/>
        <v>138458</v>
      </c>
      <c r="E69" s="36">
        <f t="shared" si="9"/>
        <v>694116</v>
      </c>
      <c r="F69" s="36">
        <f t="shared" si="9"/>
        <v>848353</v>
      </c>
      <c r="G69" s="36">
        <f t="shared" si="9"/>
        <v>386745</v>
      </c>
      <c r="H69" s="36">
        <f t="shared" si="9"/>
        <v>5489002</v>
      </c>
    </row>
    <row r="70" spans="1:8" s="3" customFormat="1" ht="12.75" customHeight="1">
      <c r="A70" s="114" t="s">
        <v>41</v>
      </c>
      <c r="B70" s="45">
        <v>16405</v>
      </c>
      <c r="C70" s="45">
        <v>166857</v>
      </c>
      <c r="D70" s="45">
        <v>94136</v>
      </c>
      <c r="E70" s="45">
        <v>24348</v>
      </c>
      <c r="F70" s="45">
        <v>55193</v>
      </c>
      <c r="G70" s="132">
        <v>23807</v>
      </c>
      <c r="H70" s="133">
        <f aca="true" t="shared" si="10" ref="H70:H81">SUM(B70:G70)</f>
        <v>380746</v>
      </c>
    </row>
    <row r="71" spans="1:8" s="3" customFormat="1" ht="12.75" customHeight="1">
      <c r="A71" s="113" t="s">
        <v>42</v>
      </c>
      <c r="B71" s="40">
        <v>38808</v>
      </c>
      <c r="C71" s="40">
        <v>192169</v>
      </c>
      <c r="D71" s="40">
        <v>2012</v>
      </c>
      <c r="E71" s="40">
        <v>36579</v>
      </c>
      <c r="F71" s="40">
        <v>69686</v>
      </c>
      <c r="G71" s="134">
        <v>37650</v>
      </c>
      <c r="H71" s="135">
        <f t="shared" si="10"/>
        <v>376904</v>
      </c>
    </row>
    <row r="72" spans="1:8" s="3" customFormat="1" ht="12.75" customHeight="1">
      <c r="A72" s="113" t="s">
        <v>4</v>
      </c>
      <c r="B72" s="40">
        <v>18124</v>
      </c>
      <c r="C72" s="40">
        <v>142514</v>
      </c>
      <c r="D72" s="40">
        <v>3647</v>
      </c>
      <c r="E72" s="40">
        <v>34619</v>
      </c>
      <c r="F72" s="40">
        <v>75060</v>
      </c>
      <c r="G72" s="134">
        <v>33326</v>
      </c>
      <c r="H72" s="135">
        <f t="shared" si="10"/>
        <v>307290</v>
      </c>
    </row>
    <row r="73" spans="1:8" s="3" customFormat="1" ht="12.75" customHeight="1">
      <c r="A73" s="113" t="s">
        <v>5</v>
      </c>
      <c r="B73" s="40">
        <v>52517</v>
      </c>
      <c r="C73" s="40">
        <v>443712</v>
      </c>
      <c r="D73" s="40">
        <v>6024</v>
      </c>
      <c r="E73" s="40">
        <v>37028</v>
      </c>
      <c r="F73" s="40">
        <v>93248</v>
      </c>
      <c r="G73" s="134">
        <v>41726</v>
      </c>
      <c r="H73" s="135">
        <f t="shared" si="10"/>
        <v>674255</v>
      </c>
    </row>
    <row r="74" spans="1:8" s="3" customFormat="1" ht="12.75" customHeight="1">
      <c r="A74" s="113" t="s">
        <v>6</v>
      </c>
      <c r="B74" s="40">
        <v>73390</v>
      </c>
      <c r="C74" s="40">
        <v>256056</v>
      </c>
      <c r="D74" s="40">
        <v>1876</v>
      </c>
      <c r="E74" s="40">
        <v>66491</v>
      </c>
      <c r="F74" s="40">
        <v>100632</v>
      </c>
      <c r="G74" s="134">
        <v>50944</v>
      </c>
      <c r="H74" s="135">
        <f t="shared" si="10"/>
        <v>549389</v>
      </c>
    </row>
    <row r="75" spans="1:8" s="3" customFormat="1" ht="12.75" customHeight="1">
      <c r="A75" s="113" t="s">
        <v>7</v>
      </c>
      <c r="B75" s="40">
        <v>17769</v>
      </c>
      <c r="C75" s="40">
        <v>240980</v>
      </c>
      <c r="D75" s="40">
        <v>14042</v>
      </c>
      <c r="E75" s="40">
        <v>51543</v>
      </c>
      <c r="F75" s="40">
        <v>62089</v>
      </c>
      <c r="G75" s="134">
        <v>47069</v>
      </c>
      <c r="H75" s="135">
        <f t="shared" si="10"/>
        <v>433492</v>
      </c>
    </row>
    <row r="76" spans="1:8" s="3" customFormat="1" ht="12.75" customHeight="1">
      <c r="A76" s="113" t="s">
        <v>8</v>
      </c>
      <c r="B76" s="40">
        <v>55391</v>
      </c>
      <c r="C76" s="40">
        <v>216456</v>
      </c>
      <c r="D76" s="40">
        <v>7546</v>
      </c>
      <c r="E76" s="40">
        <v>59563</v>
      </c>
      <c r="F76" s="40">
        <v>72654</v>
      </c>
      <c r="G76" s="134">
        <v>39243</v>
      </c>
      <c r="H76" s="135">
        <f t="shared" si="10"/>
        <v>450853</v>
      </c>
    </row>
    <row r="77" spans="1:8" s="3" customFormat="1" ht="12.75" customHeight="1">
      <c r="A77" s="113" t="s">
        <v>43</v>
      </c>
      <c r="B77" s="40">
        <v>98211</v>
      </c>
      <c r="C77" s="40">
        <v>249633</v>
      </c>
      <c r="D77" s="40">
        <v>3509</v>
      </c>
      <c r="E77" s="40">
        <v>42606</v>
      </c>
      <c r="F77" s="40">
        <v>83334</v>
      </c>
      <c r="G77" s="134">
        <v>53579</v>
      </c>
      <c r="H77" s="135">
        <f t="shared" si="10"/>
        <v>530872</v>
      </c>
    </row>
    <row r="78" spans="1:8" s="3" customFormat="1" ht="12.75" customHeight="1">
      <c r="A78" s="113" t="s">
        <v>44</v>
      </c>
      <c r="B78" s="40">
        <v>25202</v>
      </c>
      <c r="C78" s="40">
        <v>245286</v>
      </c>
      <c r="D78" s="40">
        <v>11610</v>
      </c>
      <c r="E78" s="40">
        <v>26425</v>
      </c>
      <c r="F78" s="40">
        <v>77835</v>
      </c>
      <c r="G78" s="134">
        <v>38090</v>
      </c>
      <c r="H78" s="135">
        <f t="shared" si="10"/>
        <v>424448</v>
      </c>
    </row>
    <row r="79" spans="1:8" s="3" customFormat="1" ht="12.75" customHeight="1">
      <c r="A79" s="113" t="s">
        <v>45</v>
      </c>
      <c r="B79" s="40">
        <v>13293</v>
      </c>
      <c r="C79" s="40">
        <v>221880</v>
      </c>
      <c r="D79" s="40">
        <v>4228</v>
      </c>
      <c r="E79" s="40">
        <v>58009</v>
      </c>
      <c r="F79" s="40">
        <v>87726</v>
      </c>
      <c r="G79" s="134">
        <v>73817</v>
      </c>
      <c r="H79" s="135">
        <f t="shared" si="10"/>
        <v>458953</v>
      </c>
    </row>
    <row r="80" spans="1:8" s="3" customFormat="1" ht="12.75" customHeight="1">
      <c r="A80" s="113" t="s">
        <v>46</v>
      </c>
      <c r="B80" s="40">
        <v>14320</v>
      </c>
      <c r="C80" s="40">
        <v>169096</v>
      </c>
      <c r="D80" s="40">
        <v>8145</v>
      </c>
      <c r="E80" s="40">
        <v>42633</v>
      </c>
      <c r="F80" s="40">
        <v>58487</v>
      </c>
      <c r="G80" s="134">
        <v>35694</v>
      </c>
      <c r="H80" s="135">
        <f t="shared" si="10"/>
        <v>328375</v>
      </c>
    </row>
    <row r="81" spans="1:8" s="3" customFormat="1" ht="12.75" customHeight="1" thickBot="1">
      <c r="A81" s="122" t="s">
        <v>47</v>
      </c>
      <c r="B81" s="136">
        <v>27296</v>
      </c>
      <c r="C81" s="136">
        <v>530681</v>
      </c>
      <c r="D81" s="136">
        <v>23349</v>
      </c>
      <c r="E81" s="136">
        <v>75321</v>
      </c>
      <c r="F81" s="136">
        <v>95740</v>
      </c>
      <c r="G81" s="137">
        <v>54889</v>
      </c>
      <c r="H81" s="138">
        <f t="shared" si="10"/>
        <v>807276</v>
      </c>
    </row>
    <row r="82" spans="1:8" s="3" customFormat="1" ht="12.75" customHeight="1" thickBot="1">
      <c r="A82" s="29" t="s">
        <v>53</v>
      </c>
      <c r="B82" s="36">
        <f aca="true" t="shared" si="11" ref="B82:H82">SUM(B70:B81)</f>
        <v>450726</v>
      </c>
      <c r="C82" s="36">
        <f t="shared" si="11"/>
        <v>3075320</v>
      </c>
      <c r="D82" s="36">
        <f t="shared" si="11"/>
        <v>180124</v>
      </c>
      <c r="E82" s="36">
        <f t="shared" si="11"/>
        <v>555165</v>
      </c>
      <c r="F82" s="36">
        <f t="shared" si="11"/>
        <v>931684</v>
      </c>
      <c r="G82" s="36">
        <f t="shared" si="11"/>
        <v>529834</v>
      </c>
      <c r="H82" s="36">
        <f t="shared" si="11"/>
        <v>5722853</v>
      </c>
    </row>
    <row r="83" spans="1:8" s="3" customFormat="1" ht="12.75" customHeight="1">
      <c r="A83" s="114" t="s">
        <v>41</v>
      </c>
      <c r="B83" s="45">
        <v>35254</v>
      </c>
      <c r="C83" s="45">
        <v>134881</v>
      </c>
      <c r="D83" s="45">
        <v>2878</v>
      </c>
      <c r="E83" s="45">
        <v>25878</v>
      </c>
      <c r="F83" s="45">
        <v>61023</v>
      </c>
      <c r="G83" s="132">
        <v>26275</v>
      </c>
      <c r="H83" s="133">
        <f aca="true" t="shared" si="12" ref="H83:H94">SUM(B83:G83)</f>
        <v>286189</v>
      </c>
    </row>
    <row r="84" spans="1:8" s="3" customFormat="1" ht="12.75" customHeight="1">
      <c r="A84" s="113" t="s">
        <v>42</v>
      </c>
      <c r="B84" s="40">
        <v>19844</v>
      </c>
      <c r="C84" s="40">
        <v>209054</v>
      </c>
      <c r="D84" s="40">
        <v>4939</v>
      </c>
      <c r="E84" s="40">
        <v>24753</v>
      </c>
      <c r="F84" s="40">
        <v>64086</v>
      </c>
      <c r="G84" s="134">
        <v>41485</v>
      </c>
      <c r="H84" s="135">
        <f t="shared" si="12"/>
        <v>364161</v>
      </c>
    </row>
    <row r="85" spans="1:8" s="3" customFormat="1" ht="12.75" customHeight="1">
      <c r="A85" s="113" t="s">
        <v>4</v>
      </c>
      <c r="B85" s="40">
        <v>162554</v>
      </c>
      <c r="C85" s="40">
        <v>266218</v>
      </c>
      <c r="D85" s="40">
        <v>7890</v>
      </c>
      <c r="E85" s="40">
        <v>40270</v>
      </c>
      <c r="F85" s="40">
        <v>60322</v>
      </c>
      <c r="G85" s="134">
        <v>34710</v>
      </c>
      <c r="H85" s="135">
        <f t="shared" si="12"/>
        <v>571964</v>
      </c>
    </row>
    <row r="86" spans="1:8" s="3" customFormat="1" ht="12.75" customHeight="1">
      <c r="A86" s="113" t="s">
        <v>5</v>
      </c>
      <c r="B86" s="40">
        <v>37486</v>
      </c>
      <c r="C86" s="40">
        <v>299180</v>
      </c>
      <c r="D86" s="40">
        <v>3985</v>
      </c>
      <c r="E86" s="40">
        <v>63398</v>
      </c>
      <c r="F86" s="40">
        <v>88536</v>
      </c>
      <c r="G86" s="134">
        <v>34007</v>
      </c>
      <c r="H86" s="135">
        <f t="shared" si="12"/>
        <v>526592</v>
      </c>
    </row>
    <row r="87" spans="1:8" s="3" customFormat="1" ht="12.75" customHeight="1">
      <c r="A87" s="113" t="s">
        <v>6</v>
      </c>
      <c r="B87" s="40">
        <v>60055</v>
      </c>
      <c r="C87" s="40">
        <v>304001</v>
      </c>
      <c r="D87" s="40">
        <v>19671</v>
      </c>
      <c r="E87" s="40">
        <v>50907</v>
      </c>
      <c r="F87" s="40">
        <v>76907</v>
      </c>
      <c r="G87" s="134">
        <v>71975</v>
      </c>
      <c r="H87" s="135">
        <f t="shared" si="12"/>
        <v>583516</v>
      </c>
    </row>
    <row r="88" spans="1:8" s="3" customFormat="1" ht="12.75" customHeight="1">
      <c r="A88" s="113" t="s">
        <v>7</v>
      </c>
      <c r="B88" s="40">
        <v>24583</v>
      </c>
      <c r="C88" s="40">
        <v>384868</v>
      </c>
      <c r="D88" s="40">
        <v>7580</v>
      </c>
      <c r="E88" s="40">
        <v>92015</v>
      </c>
      <c r="F88" s="40">
        <v>90829</v>
      </c>
      <c r="G88" s="134">
        <v>52561</v>
      </c>
      <c r="H88" s="135">
        <f t="shared" si="12"/>
        <v>652436</v>
      </c>
    </row>
    <row r="89" spans="1:8" s="3" customFormat="1" ht="12.75" customHeight="1">
      <c r="A89" s="113" t="s">
        <v>8</v>
      </c>
      <c r="B89" s="40">
        <v>27281</v>
      </c>
      <c r="C89" s="40">
        <v>342345</v>
      </c>
      <c r="D89" s="40">
        <v>3541</v>
      </c>
      <c r="E89" s="40">
        <v>71246</v>
      </c>
      <c r="F89" s="40">
        <v>85738</v>
      </c>
      <c r="G89" s="134">
        <v>57264</v>
      </c>
      <c r="H89" s="135">
        <f t="shared" si="12"/>
        <v>587415</v>
      </c>
    </row>
    <row r="90" spans="1:8" s="3" customFormat="1" ht="12.75" customHeight="1">
      <c r="A90" s="113" t="s">
        <v>43</v>
      </c>
      <c r="B90" s="40">
        <v>71120</v>
      </c>
      <c r="C90" s="40">
        <v>328921</v>
      </c>
      <c r="D90" s="40">
        <v>1062</v>
      </c>
      <c r="E90" s="40">
        <v>69915</v>
      </c>
      <c r="F90" s="40">
        <v>89234</v>
      </c>
      <c r="G90" s="134">
        <v>65471</v>
      </c>
      <c r="H90" s="135">
        <f t="shared" si="12"/>
        <v>625723</v>
      </c>
    </row>
    <row r="91" spans="1:8" s="3" customFormat="1" ht="12.75" customHeight="1">
      <c r="A91" s="113" t="s">
        <v>44</v>
      </c>
      <c r="B91" s="40">
        <v>38517</v>
      </c>
      <c r="C91" s="40">
        <v>321766</v>
      </c>
      <c r="D91" s="40">
        <v>13865</v>
      </c>
      <c r="E91" s="40">
        <v>53522</v>
      </c>
      <c r="F91" s="40">
        <v>124093</v>
      </c>
      <c r="G91" s="134">
        <v>55546</v>
      </c>
      <c r="H91" s="135">
        <f t="shared" si="12"/>
        <v>607309</v>
      </c>
    </row>
    <row r="92" spans="1:8" s="3" customFormat="1" ht="12.75" customHeight="1">
      <c r="A92" s="113" t="s">
        <v>45</v>
      </c>
      <c r="B92" s="40">
        <v>84685</v>
      </c>
      <c r="C92" s="40">
        <v>295090</v>
      </c>
      <c r="D92" s="40">
        <v>49372</v>
      </c>
      <c r="E92" s="40">
        <v>45334</v>
      </c>
      <c r="F92" s="40">
        <v>87940</v>
      </c>
      <c r="G92" s="134">
        <v>55361</v>
      </c>
      <c r="H92" s="135">
        <f t="shared" si="12"/>
        <v>617782</v>
      </c>
    </row>
    <row r="93" spans="1:8" s="3" customFormat="1" ht="12.75" customHeight="1">
      <c r="A93" s="113" t="s">
        <v>46</v>
      </c>
      <c r="B93" s="40">
        <v>102762</v>
      </c>
      <c r="C93" s="40">
        <v>217476</v>
      </c>
      <c r="D93" s="40">
        <v>2828</v>
      </c>
      <c r="E93" s="40">
        <v>24629</v>
      </c>
      <c r="F93" s="40">
        <v>66660</v>
      </c>
      <c r="G93" s="134">
        <v>25582</v>
      </c>
      <c r="H93" s="135">
        <f t="shared" si="12"/>
        <v>439937</v>
      </c>
    </row>
    <row r="94" spans="1:8" s="3" customFormat="1" ht="12.75" customHeight="1" thickBot="1">
      <c r="A94" s="122" t="s">
        <v>47</v>
      </c>
      <c r="B94" s="136">
        <v>95715</v>
      </c>
      <c r="C94" s="136">
        <v>434575</v>
      </c>
      <c r="D94" s="136">
        <v>26302</v>
      </c>
      <c r="E94" s="136">
        <v>35337</v>
      </c>
      <c r="F94" s="136">
        <v>60236</v>
      </c>
      <c r="G94" s="137">
        <v>51194</v>
      </c>
      <c r="H94" s="138">
        <f t="shared" si="12"/>
        <v>703359</v>
      </c>
    </row>
    <row r="95" spans="1:8" s="3" customFormat="1" ht="12.75" customHeight="1" thickBot="1">
      <c r="A95" s="29" t="s">
        <v>54</v>
      </c>
      <c r="B95" s="36">
        <f aca="true" t="shared" si="13" ref="B95:H95">SUM(B83:B94)</f>
        <v>759856</v>
      </c>
      <c r="C95" s="36">
        <f t="shared" si="13"/>
        <v>3538375</v>
      </c>
      <c r="D95" s="36">
        <f t="shared" si="13"/>
        <v>143913</v>
      </c>
      <c r="E95" s="36">
        <f t="shared" si="13"/>
        <v>597204</v>
      </c>
      <c r="F95" s="36">
        <f t="shared" si="13"/>
        <v>955604</v>
      </c>
      <c r="G95" s="36">
        <f t="shared" si="13"/>
        <v>571431</v>
      </c>
      <c r="H95" s="36">
        <f t="shared" si="13"/>
        <v>6566383</v>
      </c>
    </row>
    <row r="96" spans="1:8" s="3" customFormat="1" ht="12.75" customHeight="1">
      <c r="A96" s="114" t="s">
        <v>41</v>
      </c>
      <c r="B96" s="45">
        <v>17690</v>
      </c>
      <c r="C96" s="45">
        <v>182016</v>
      </c>
      <c r="D96" s="45">
        <v>913</v>
      </c>
      <c r="E96" s="45">
        <v>45088</v>
      </c>
      <c r="F96" s="45">
        <v>47842</v>
      </c>
      <c r="G96" s="132">
        <v>14627</v>
      </c>
      <c r="H96" s="133">
        <f aca="true" t="shared" si="14" ref="H96:H107">SUM(B96:G96)</f>
        <v>308176</v>
      </c>
    </row>
    <row r="97" spans="1:8" s="3" customFormat="1" ht="12.75" customHeight="1">
      <c r="A97" s="113" t="s">
        <v>42</v>
      </c>
      <c r="B97" s="40">
        <v>100086</v>
      </c>
      <c r="C97" s="40">
        <v>278660</v>
      </c>
      <c r="D97" s="40">
        <v>8065</v>
      </c>
      <c r="E97" s="40">
        <v>17195</v>
      </c>
      <c r="F97" s="40">
        <v>24340</v>
      </c>
      <c r="G97" s="40">
        <v>18866</v>
      </c>
      <c r="H97" s="135">
        <f t="shared" si="14"/>
        <v>447212</v>
      </c>
    </row>
    <row r="98" spans="1:8" s="3" customFormat="1" ht="12.75" customHeight="1">
      <c r="A98" s="113" t="s">
        <v>4</v>
      </c>
      <c r="B98" s="40">
        <v>22455</v>
      </c>
      <c r="C98" s="40">
        <v>236508</v>
      </c>
      <c r="D98" s="40">
        <v>11056</v>
      </c>
      <c r="E98" s="40">
        <v>39363</v>
      </c>
      <c r="F98" s="40">
        <v>57696</v>
      </c>
      <c r="G98" s="134">
        <v>22742</v>
      </c>
      <c r="H98" s="135">
        <f t="shared" si="14"/>
        <v>389820</v>
      </c>
    </row>
    <row r="99" spans="1:8" s="3" customFormat="1" ht="12.75" customHeight="1">
      <c r="A99" s="113" t="s">
        <v>5</v>
      </c>
      <c r="B99" s="40">
        <v>39653</v>
      </c>
      <c r="C99" s="40">
        <v>359357</v>
      </c>
      <c r="D99" s="40">
        <v>21950</v>
      </c>
      <c r="E99" s="40">
        <v>47504</v>
      </c>
      <c r="F99" s="40">
        <v>64098</v>
      </c>
      <c r="G99" s="134">
        <v>27327</v>
      </c>
      <c r="H99" s="135">
        <f t="shared" si="14"/>
        <v>559889</v>
      </c>
    </row>
    <row r="100" spans="1:8" s="3" customFormat="1" ht="12.75" customHeight="1">
      <c r="A100" s="113" t="s">
        <v>6</v>
      </c>
      <c r="B100" s="40">
        <v>78832</v>
      </c>
      <c r="C100" s="40">
        <v>433584</v>
      </c>
      <c r="D100" s="40">
        <v>16102</v>
      </c>
      <c r="E100" s="40">
        <v>68325</v>
      </c>
      <c r="F100" s="40">
        <v>116429</v>
      </c>
      <c r="G100" s="134">
        <v>48582</v>
      </c>
      <c r="H100" s="135">
        <f t="shared" si="14"/>
        <v>761854</v>
      </c>
    </row>
    <row r="101" spans="1:8" s="3" customFormat="1" ht="12.75" customHeight="1">
      <c r="A101" s="113" t="s">
        <v>7</v>
      </c>
      <c r="B101" s="40">
        <v>80487</v>
      </c>
      <c r="C101" s="40">
        <v>410013</v>
      </c>
      <c r="D101" s="40">
        <v>50961</v>
      </c>
      <c r="E101" s="40">
        <v>73616</v>
      </c>
      <c r="F101" s="40">
        <v>97131</v>
      </c>
      <c r="G101" s="134">
        <v>50073</v>
      </c>
      <c r="H101" s="135">
        <f t="shared" si="14"/>
        <v>762281</v>
      </c>
    </row>
    <row r="102" spans="1:8" s="3" customFormat="1" ht="12.75" customHeight="1">
      <c r="A102" s="113" t="s">
        <v>8</v>
      </c>
      <c r="B102" s="40">
        <v>61339</v>
      </c>
      <c r="C102" s="40">
        <v>477308</v>
      </c>
      <c r="D102" s="40">
        <v>23401</v>
      </c>
      <c r="E102" s="40">
        <v>84400</v>
      </c>
      <c r="F102" s="40">
        <v>78451</v>
      </c>
      <c r="G102" s="134">
        <v>43782</v>
      </c>
      <c r="H102" s="135">
        <f t="shared" si="14"/>
        <v>768681</v>
      </c>
    </row>
    <row r="103" spans="1:8" s="3" customFormat="1" ht="12.75" customHeight="1">
      <c r="A103" s="113" t="s">
        <v>43</v>
      </c>
      <c r="B103" s="40">
        <v>45356</v>
      </c>
      <c r="C103" s="40">
        <v>330037</v>
      </c>
      <c r="D103" s="40">
        <v>22520</v>
      </c>
      <c r="E103" s="40">
        <v>47864</v>
      </c>
      <c r="F103" s="40">
        <v>95392</v>
      </c>
      <c r="G103" s="134">
        <v>45729</v>
      </c>
      <c r="H103" s="135">
        <f t="shared" si="14"/>
        <v>586898</v>
      </c>
    </row>
    <row r="104" spans="1:8" s="3" customFormat="1" ht="12.75" customHeight="1">
      <c r="A104" s="113" t="s">
        <v>44</v>
      </c>
      <c r="B104" s="40">
        <v>58385</v>
      </c>
      <c r="C104" s="40">
        <v>371607</v>
      </c>
      <c r="D104" s="40">
        <v>6214</v>
      </c>
      <c r="E104" s="40">
        <v>72039</v>
      </c>
      <c r="F104" s="40">
        <v>73327</v>
      </c>
      <c r="G104" s="134">
        <v>56011</v>
      </c>
      <c r="H104" s="135">
        <f t="shared" si="14"/>
        <v>637583</v>
      </c>
    </row>
    <row r="105" spans="1:8" s="3" customFormat="1" ht="12.75" customHeight="1">
      <c r="A105" s="113" t="s">
        <v>45</v>
      </c>
      <c r="B105" s="40">
        <v>101019</v>
      </c>
      <c r="C105" s="40">
        <v>393290</v>
      </c>
      <c r="D105" s="40">
        <v>47413</v>
      </c>
      <c r="E105" s="40">
        <v>57411</v>
      </c>
      <c r="F105" s="40">
        <v>82285</v>
      </c>
      <c r="G105" s="134">
        <v>57655</v>
      </c>
      <c r="H105" s="135">
        <f t="shared" si="14"/>
        <v>739073</v>
      </c>
    </row>
    <row r="106" spans="1:8" s="3" customFormat="1" ht="12.75" customHeight="1">
      <c r="A106" s="113" t="s">
        <v>46</v>
      </c>
      <c r="B106" s="40">
        <v>18593</v>
      </c>
      <c r="C106" s="40">
        <v>214729</v>
      </c>
      <c r="D106" s="40">
        <v>6065</v>
      </c>
      <c r="E106" s="40">
        <v>25279</v>
      </c>
      <c r="F106" s="40">
        <v>55521</v>
      </c>
      <c r="G106" s="134">
        <v>21187</v>
      </c>
      <c r="H106" s="135">
        <f t="shared" si="14"/>
        <v>341374</v>
      </c>
    </row>
    <row r="107" spans="1:8" s="3" customFormat="1" ht="12.75" customHeight="1" thickBot="1">
      <c r="A107" s="122" t="s">
        <v>47</v>
      </c>
      <c r="B107" s="136">
        <v>152178</v>
      </c>
      <c r="C107" s="136">
        <v>557303</v>
      </c>
      <c r="D107" s="136">
        <v>12703</v>
      </c>
      <c r="E107" s="136">
        <v>55378</v>
      </c>
      <c r="F107" s="136">
        <v>71173</v>
      </c>
      <c r="G107" s="137">
        <v>44126</v>
      </c>
      <c r="H107" s="138">
        <f t="shared" si="14"/>
        <v>892861</v>
      </c>
    </row>
    <row r="108" spans="1:8" s="3" customFormat="1" ht="12.75" customHeight="1" thickBot="1">
      <c r="A108" s="29" t="s">
        <v>55</v>
      </c>
      <c r="B108" s="36">
        <f aca="true" t="shared" si="15" ref="B108:H108">SUM(B96:B107)</f>
        <v>776073</v>
      </c>
      <c r="C108" s="36">
        <f t="shared" si="15"/>
        <v>4244412</v>
      </c>
      <c r="D108" s="36">
        <f t="shared" si="15"/>
        <v>227363</v>
      </c>
      <c r="E108" s="36">
        <f t="shared" si="15"/>
        <v>633462</v>
      </c>
      <c r="F108" s="36">
        <f t="shared" si="15"/>
        <v>863685</v>
      </c>
      <c r="G108" s="36">
        <f t="shared" si="15"/>
        <v>450707</v>
      </c>
      <c r="H108" s="36">
        <f t="shared" si="15"/>
        <v>7195702</v>
      </c>
    </row>
    <row r="109" spans="1:8" s="3" customFormat="1" ht="12.75" customHeight="1">
      <c r="A109" s="114" t="s">
        <v>41</v>
      </c>
      <c r="B109" s="45">
        <v>115685</v>
      </c>
      <c r="C109" s="45">
        <v>193654</v>
      </c>
      <c r="D109" s="45">
        <v>2861</v>
      </c>
      <c r="E109" s="45">
        <v>25970</v>
      </c>
      <c r="F109" s="45">
        <v>54907</v>
      </c>
      <c r="G109" s="132">
        <v>23551</v>
      </c>
      <c r="H109" s="133">
        <f aca="true" t="shared" si="16" ref="H109:H120">SUM(B109:G109)</f>
        <v>416628</v>
      </c>
    </row>
    <row r="110" spans="1:8" s="3" customFormat="1" ht="12.75" customHeight="1">
      <c r="A110" s="113" t="s">
        <v>42</v>
      </c>
      <c r="B110" s="40">
        <v>81635</v>
      </c>
      <c r="C110" s="40">
        <v>315136</v>
      </c>
      <c r="D110" s="40">
        <v>22096</v>
      </c>
      <c r="E110" s="40">
        <v>24009</v>
      </c>
      <c r="F110" s="40">
        <v>53735</v>
      </c>
      <c r="G110" s="134">
        <v>32528</v>
      </c>
      <c r="H110" s="135">
        <f t="shared" si="16"/>
        <v>529139</v>
      </c>
    </row>
    <row r="111" spans="1:8" s="3" customFormat="1" ht="12.75" customHeight="1">
      <c r="A111" s="113" t="s">
        <v>4</v>
      </c>
      <c r="B111" s="40">
        <v>91389</v>
      </c>
      <c r="C111" s="40">
        <v>386849</v>
      </c>
      <c r="D111" s="40">
        <v>29175</v>
      </c>
      <c r="E111" s="40">
        <v>46767</v>
      </c>
      <c r="F111" s="40">
        <v>74622</v>
      </c>
      <c r="G111" s="134">
        <v>26292</v>
      </c>
      <c r="H111" s="135">
        <f t="shared" si="16"/>
        <v>655094</v>
      </c>
    </row>
    <row r="112" spans="1:8" s="3" customFormat="1" ht="12.75" customHeight="1">
      <c r="A112" s="113" t="s">
        <v>5</v>
      </c>
      <c r="B112" s="40">
        <v>105165</v>
      </c>
      <c r="C112" s="40">
        <v>349780</v>
      </c>
      <c r="D112" s="40">
        <v>6683</v>
      </c>
      <c r="E112" s="40">
        <v>43385</v>
      </c>
      <c r="F112" s="40">
        <v>74840</v>
      </c>
      <c r="G112" s="134">
        <v>46589</v>
      </c>
      <c r="H112" s="135">
        <f t="shared" si="16"/>
        <v>626442</v>
      </c>
    </row>
    <row r="113" spans="1:8" s="3" customFormat="1" ht="12.75" customHeight="1">
      <c r="A113" s="113" t="s">
        <v>6</v>
      </c>
      <c r="B113" s="40">
        <v>76581</v>
      </c>
      <c r="C113" s="40">
        <v>313583</v>
      </c>
      <c r="D113" s="40">
        <v>10388</v>
      </c>
      <c r="E113" s="40">
        <v>56825</v>
      </c>
      <c r="F113" s="40">
        <v>94777</v>
      </c>
      <c r="G113" s="134">
        <v>22499</v>
      </c>
      <c r="H113" s="135">
        <f t="shared" si="16"/>
        <v>574653</v>
      </c>
    </row>
    <row r="114" spans="1:8" s="3" customFormat="1" ht="12.75" customHeight="1">
      <c r="A114" s="113" t="s">
        <v>7</v>
      </c>
      <c r="B114" s="40">
        <v>79577</v>
      </c>
      <c r="C114" s="40">
        <v>431987</v>
      </c>
      <c r="D114" s="40">
        <v>30825</v>
      </c>
      <c r="E114" s="40">
        <v>50317</v>
      </c>
      <c r="F114" s="40">
        <v>93325</v>
      </c>
      <c r="G114" s="134">
        <v>37669</v>
      </c>
      <c r="H114" s="135">
        <f t="shared" si="16"/>
        <v>723700</v>
      </c>
    </row>
    <row r="115" spans="1:8" s="3" customFormat="1" ht="12.75" customHeight="1">
      <c r="A115" s="113" t="s">
        <v>8</v>
      </c>
      <c r="B115" s="40">
        <v>109333</v>
      </c>
      <c r="C115" s="40">
        <v>398224</v>
      </c>
      <c r="D115" s="40">
        <v>8426</v>
      </c>
      <c r="E115" s="40">
        <v>53698</v>
      </c>
      <c r="F115" s="40">
        <v>74846</v>
      </c>
      <c r="G115" s="134">
        <v>41629</v>
      </c>
      <c r="H115" s="135">
        <f t="shared" si="16"/>
        <v>686156</v>
      </c>
    </row>
    <row r="116" spans="1:8" s="3" customFormat="1" ht="12.75" customHeight="1">
      <c r="A116" s="113" t="s">
        <v>43</v>
      </c>
      <c r="B116" s="40">
        <v>65389</v>
      </c>
      <c r="C116" s="40">
        <v>353738</v>
      </c>
      <c r="D116" s="40">
        <v>11893</v>
      </c>
      <c r="E116" s="40">
        <v>60184</v>
      </c>
      <c r="F116" s="40">
        <v>75771</v>
      </c>
      <c r="G116" s="134">
        <v>48475</v>
      </c>
      <c r="H116" s="135">
        <f t="shared" si="16"/>
        <v>615450</v>
      </c>
    </row>
    <row r="117" spans="1:8" s="3" customFormat="1" ht="12.75" customHeight="1">
      <c r="A117" s="113" t="s">
        <v>44</v>
      </c>
      <c r="B117" s="40">
        <v>197243</v>
      </c>
      <c r="C117" s="40">
        <v>396820</v>
      </c>
      <c r="D117" s="40">
        <v>6049</v>
      </c>
      <c r="E117" s="40">
        <v>33612</v>
      </c>
      <c r="F117" s="40">
        <v>87245</v>
      </c>
      <c r="G117" s="134">
        <v>46540</v>
      </c>
      <c r="H117" s="135">
        <f t="shared" si="16"/>
        <v>767509</v>
      </c>
    </row>
    <row r="118" spans="1:8" s="3" customFormat="1" ht="12.75" customHeight="1">
      <c r="A118" s="113" t="s">
        <v>45</v>
      </c>
      <c r="B118" s="40">
        <v>75362</v>
      </c>
      <c r="C118" s="40">
        <v>320434</v>
      </c>
      <c r="D118" s="40">
        <v>22597</v>
      </c>
      <c r="E118" s="40">
        <v>44930</v>
      </c>
      <c r="F118" s="40">
        <v>91288</v>
      </c>
      <c r="G118" s="134">
        <v>50256</v>
      </c>
      <c r="H118" s="135">
        <f t="shared" si="16"/>
        <v>604867</v>
      </c>
    </row>
    <row r="119" spans="1:8" s="3" customFormat="1" ht="12.75" customHeight="1">
      <c r="A119" s="113" t="s">
        <v>46</v>
      </c>
      <c r="B119" s="40">
        <v>47303</v>
      </c>
      <c r="C119" s="40">
        <v>324596</v>
      </c>
      <c r="D119" s="40">
        <v>5365</v>
      </c>
      <c r="E119" s="40">
        <v>32900</v>
      </c>
      <c r="F119" s="40">
        <v>51081</v>
      </c>
      <c r="G119" s="134">
        <v>23804</v>
      </c>
      <c r="H119" s="135">
        <f t="shared" si="16"/>
        <v>485049</v>
      </c>
    </row>
    <row r="120" spans="1:8" s="3" customFormat="1" ht="12.75" customHeight="1" thickBot="1">
      <c r="A120" s="122" t="s">
        <v>47</v>
      </c>
      <c r="B120" s="136">
        <v>99062</v>
      </c>
      <c r="C120" s="136">
        <v>671092</v>
      </c>
      <c r="D120" s="136">
        <v>35507</v>
      </c>
      <c r="E120" s="136">
        <v>86331</v>
      </c>
      <c r="F120" s="136">
        <v>84335</v>
      </c>
      <c r="G120" s="137">
        <v>58699</v>
      </c>
      <c r="H120" s="138">
        <f t="shared" si="16"/>
        <v>1035026</v>
      </c>
    </row>
    <row r="121" spans="1:8" s="3" customFormat="1" ht="12.75" customHeight="1" thickBot="1">
      <c r="A121" s="29" t="s">
        <v>56</v>
      </c>
      <c r="B121" s="36">
        <f aca="true" t="shared" si="17" ref="B121:H121">SUM(B109:B120)</f>
        <v>1143724</v>
      </c>
      <c r="C121" s="36">
        <f t="shared" si="17"/>
        <v>4455893</v>
      </c>
      <c r="D121" s="36">
        <f t="shared" si="17"/>
        <v>191865</v>
      </c>
      <c r="E121" s="36">
        <f t="shared" si="17"/>
        <v>558928</v>
      </c>
      <c r="F121" s="36">
        <f t="shared" si="17"/>
        <v>910772</v>
      </c>
      <c r="G121" s="36">
        <f t="shared" si="17"/>
        <v>458531</v>
      </c>
      <c r="H121" s="36">
        <f t="shared" si="17"/>
        <v>7719713</v>
      </c>
    </row>
    <row r="122" spans="1:8" s="3" customFormat="1" ht="12.75" customHeight="1">
      <c r="A122" s="114" t="s">
        <v>41</v>
      </c>
      <c r="B122" s="45">
        <v>54762</v>
      </c>
      <c r="C122" s="45">
        <v>244931</v>
      </c>
      <c r="D122" s="45">
        <v>11471</v>
      </c>
      <c r="E122" s="45">
        <v>20083</v>
      </c>
      <c r="F122" s="45">
        <v>47431</v>
      </c>
      <c r="G122" s="132">
        <v>13423</v>
      </c>
      <c r="H122" s="133">
        <f aca="true" t="shared" si="18" ref="H122:H133">SUM(B122:G122)</f>
        <v>392101</v>
      </c>
    </row>
    <row r="123" spans="1:8" s="3" customFormat="1" ht="12.75" customHeight="1">
      <c r="A123" s="113" t="s">
        <v>42</v>
      </c>
      <c r="B123" s="40">
        <v>119172</v>
      </c>
      <c r="C123" s="40">
        <v>261133</v>
      </c>
      <c r="D123" s="40">
        <v>7220</v>
      </c>
      <c r="E123" s="40">
        <v>39712</v>
      </c>
      <c r="F123" s="40">
        <v>50968</v>
      </c>
      <c r="G123" s="134">
        <v>16707</v>
      </c>
      <c r="H123" s="135">
        <f t="shared" si="18"/>
        <v>494912</v>
      </c>
    </row>
    <row r="124" spans="1:8" s="3" customFormat="1" ht="12.75" customHeight="1">
      <c r="A124" s="113" t="s">
        <v>4</v>
      </c>
      <c r="B124" s="40">
        <v>193383</v>
      </c>
      <c r="C124" s="40">
        <v>398515</v>
      </c>
      <c r="D124" s="40">
        <v>16169</v>
      </c>
      <c r="E124" s="40">
        <v>65175</v>
      </c>
      <c r="F124" s="40">
        <v>63191</v>
      </c>
      <c r="G124" s="134">
        <v>37103</v>
      </c>
      <c r="H124" s="135">
        <f t="shared" si="18"/>
        <v>773536</v>
      </c>
    </row>
    <row r="125" spans="1:8" s="3" customFormat="1" ht="12.75" customHeight="1">
      <c r="A125" s="113" t="s">
        <v>5</v>
      </c>
      <c r="B125" s="40">
        <v>53025</v>
      </c>
      <c r="C125" s="40">
        <v>250911</v>
      </c>
      <c r="D125" s="40">
        <v>23428</v>
      </c>
      <c r="E125" s="40">
        <v>42403</v>
      </c>
      <c r="F125" s="40">
        <v>77083</v>
      </c>
      <c r="G125" s="134">
        <v>29415</v>
      </c>
      <c r="H125" s="135">
        <f t="shared" si="18"/>
        <v>476265</v>
      </c>
    </row>
    <row r="126" spans="1:8" s="3" customFormat="1" ht="12.75" customHeight="1">
      <c r="A126" s="113" t="s">
        <v>6</v>
      </c>
      <c r="B126" s="40">
        <v>149901</v>
      </c>
      <c r="C126" s="40">
        <v>474198</v>
      </c>
      <c r="D126" s="40">
        <v>19584</v>
      </c>
      <c r="E126" s="40">
        <v>52403</v>
      </c>
      <c r="F126" s="40">
        <v>63566</v>
      </c>
      <c r="G126" s="134">
        <v>33355</v>
      </c>
      <c r="H126" s="135">
        <f t="shared" si="18"/>
        <v>793007</v>
      </c>
    </row>
    <row r="127" spans="1:8" s="3" customFormat="1" ht="12.75" customHeight="1">
      <c r="A127" s="113" t="s">
        <v>7</v>
      </c>
      <c r="B127" s="40">
        <v>74937</v>
      </c>
      <c r="C127" s="40">
        <v>367370</v>
      </c>
      <c r="D127" s="40">
        <v>17222</v>
      </c>
      <c r="E127" s="40">
        <v>38177</v>
      </c>
      <c r="F127" s="40">
        <v>78155</v>
      </c>
      <c r="G127" s="134">
        <v>43660</v>
      </c>
      <c r="H127" s="135">
        <f t="shared" si="18"/>
        <v>619521</v>
      </c>
    </row>
    <row r="128" spans="1:8" s="3" customFormat="1" ht="12.75" customHeight="1">
      <c r="A128" s="113" t="s">
        <v>8</v>
      </c>
      <c r="B128" s="40">
        <v>84694</v>
      </c>
      <c r="C128" s="40">
        <v>357553</v>
      </c>
      <c r="D128" s="40">
        <v>22733</v>
      </c>
      <c r="E128" s="40">
        <v>48921</v>
      </c>
      <c r="F128" s="40">
        <v>72558</v>
      </c>
      <c r="G128" s="134">
        <v>33053</v>
      </c>
      <c r="H128" s="135">
        <f t="shared" si="18"/>
        <v>619512</v>
      </c>
    </row>
    <row r="129" spans="1:8" s="3" customFormat="1" ht="12.75" customHeight="1">
      <c r="A129" s="113" t="s">
        <v>43</v>
      </c>
      <c r="B129" s="40">
        <v>65453</v>
      </c>
      <c r="C129" s="40">
        <v>430592</v>
      </c>
      <c r="D129" s="40">
        <v>7369</v>
      </c>
      <c r="E129" s="40">
        <v>66565</v>
      </c>
      <c r="F129" s="40">
        <v>92152</v>
      </c>
      <c r="G129" s="134">
        <v>44759</v>
      </c>
      <c r="H129" s="135">
        <f t="shared" si="18"/>
        <v>706890</v>
      </c>
    </row>
    <row r="130" spans="1:8" s="3" customFormat="1" ht="12.75" customHeight="1">
      <c r="A130" s="113" t="s">
        <v>44</v>
      </c>
      <c r="B130" s="40">
        <v>192534</v>
      </c>
      <c r="C130" s="40">
        <v>345154</v>
      </c>
      <c r="D130" s="40">
        <v>22067</v>
      </c>
      <c r="E130" s="40">
        <v>45368</v>
      </c>
      <c r="F130" s="40">
        <v>93255</v>
      </c>
      <c r="G130" s="134">
        <v>39244</v>
      </c>
      <c r="H130" s="135">
        <f t="shared" si="18"/>
        <v>737622</v>
      </c>
    </row>
    <row r="131" spans="1:8" s="3" customFormat="1" ht="12.75" customHeight="1">
      <c r="A131" s="113" t="s">
        <v>45</v>
      </c>
      <c r="B131" s="40">
        <v>133229</v>
      </c>
      <c r="C131" s="40">
        <v>367764</v>
      </c>
      <c r="D131" s="40">
        <v>49784</v>
      </c>
      <c r="E131" s="40">
        <v>37879</v>
      </c>
      <c r="F131" s="40">
        <v>75825</v>
      </c>
      <c r="G131" s="134">
        <v>30105</v>
      </c>
      <c r="H131" s="135">
        <f t="shared" si="18"/>
        <v>694586</v>
      </c>
    </row>
    <row r="132" spans="1:8" s="3" customFormat="1" ht="12.75" customHeight="1">
      <c r="A132" s="113" t="s">
        <v>46</v>
      </c>
      <c r="B132" s="40">
        <v>59707</v>
      </c>
      <c r="C132" s="40">
        <v>319249</v>
      </c>
      <c r="D132" s="40">
        <v>30893</v>
      </c>
      <c r="E132" s="40">
        <v>16068</v>
      </c>
      <c r="F132" s="40">
        <v>90832</v>
      </c>
      <c r="G132" s="134">
        <v>31623</v>
      </c>
      <c r="H132" s="135">
        <f t="shared" si="18"/>
        <v>548372</v>
      </c>
    </row>
    <row r="133" spans="1:8" s="3" customFormat="1" ht="12.75" customHeight="1" thickBot="1">
      <c r="A133" s="122" t="s">
        <v>47</v>
      </c>
      <c r="B133" s="136">
        <v>249751</v>
      </c>
      <c r="C133" s="136">
        <v>596511</v>
      </c>
      <c r="D133" s="136">
        <v>35995</v>
      </c>
      <c r="E133" s="136">
        <v>50700</v>
      </c>
      <c r="F133" s="136">
        <v>103557</v>
      </c>
      <c r="G133" s="137">
        <v>35584</v>
      </c>
      <c r="H133" s="138">
        <f t="shared" si="18"/>
        <v>1072098</v>
      </c>
    </row>
    <row r="134" spans="1:8" s="3" customFormat="1" ht="12.75" customHeight="1" thickBot="1">
      <c r="A134" s="29" t="s">
        <v>57</v>
      </c>
      <c r="B134" s="36">
        <f aca="true" t="shared" si="19" ref="B134:H134">SUM(B122:B133)</f>
        <v>1430548</v>
      </c>
      <c r="C134" s="36">
        <f t="shared" si="19"/>
        <v>4413881</v>
      </c>
      <c r="D134" s="36">
        <f t="shared" si="19"/>
        <v>263935</v>
      </c>
      <c r="E134" s="36">
        <f t="shared" si="19"/>
        <v>523454</v>
      </c>
      <c r="F134" s="36">
        <f t="shared" si="19"/>
        <v>908573</v>
      </c>
      <c r="G134" s="36">
        <f t="shared" si="19"/>
        <v>388031</v>
      </c>
      <c r="H134" s="36">
        <f t="shared" si="19"/>
        <v>7928422</v>
      </c>
    </row>
    <row r="135" spans="1:8" s="3" customFormat="1" ht="12.75" customHeight="1">
      <c r="A135" s="114" t="s">
        <v>41</v>
      </c>
      <c r="B135" s="45">
        <v>68777</v>
      </c>
      <c r="C135" s="45">
        <v>192598</v>
      </c>
      <c r="D135" s="45">
        <v>15727</v>
      </c>
      <c r="E135" s="45">
        <v>18762</v>
      </c>
      <c r="F135" s="45">
        <v>35707</v>
      </c>
      <c r="G135" s="132">
        <v>13067</v>
      </c>
      <c r="H135" s="133">
        <f aca="true" t="shared" si="20" ref="H135:H146">SUM(B135:G135)</f>
        <v>344638</v>
      </c>
    </row>
    <row r="136" spans="1:8" s="3" customFormat="1" ht="12.75" customHeight="1">
      <c r="A136" s="113" t="s">
        <v>42</v>
      </c>
      <c r="B136" s="40">
        <v>91320</v>
      </c>
      <c r="C136" s="40">
        <v>426099</v>
      </c>
      <c r="D136" s="40">
        <v>8375</v>
      </c>
      <c r="E136" s="40">
        <v>22093</v>
      </c>
      <c r="F136" s="40">
        <v>62195</v>
      </c>
      <c r="G136" s="134">
        <v>27652</v>
      </c>
      <c r="H136" s="135">
        <f t="shared" si="20"/>
        <v>637734</v>
      </c>
    </row>
    <row r="137" spans="1:8" s="3" customFormat="1" ht="12.75" customHeight="1">
      <c r="A137" s="113" t="s">
        <v>4</v>
      </c>
      <c r="B137" s="40">
        <v>181816</v>
      </c>
      <c r="C137" s="40">
        <v>652257</v>
      </c>
      <c r="D137" s="40">
        <v>25170</v>
      </c>
      <c r="E137" s="40">
        <v>71320</v>
      </c>
      <c r="F137" s="40">
        <v>95353</v>
      </c>
      <c r="G137" s="134">
        <v>56528</v>
      </c>
      <c r="H137" s="135">
        <f t="shared" si="20"/>
        <v>1082444</v>
      </c>
    </row>
    <row r="138" spans="1:8" s="3" customFormat="1" ht="12.75" customHeight="1">
      <c r="A138" s="113" t="s">
        <v>5</v>
      </c>
      <c r="B138" s="40">
        <v>131312</v>
      </c>
      <c r="C138" s="40">
        <v>380192</v>
      </c>
      <c r="D138" s="40">
        <v>11328</v>
      </c>
      <c r="E138" s="40">
        <v>62536</v>
      </c>
      <c r="F138" s="40">
        <v>67696</v>
      </c>
      <c r="G138" s="134">
        <v>68167</v>
      </c>
      <c r="H138" s="135">
        <f t="shared" si="20"/>
        <v>721231</v>
      </c>
    </row>
    <row r="139" spans="1:8" s="3" customFormat="1" ht="12.75" customHeight="1">
      <c r="A139" s="113" t="s">
        <v>6</v>
      </c>
      <c r="B139" s="40">
        <v>218342</v>
      </c>
      <c r="C139" s="40">
        <v>603103</v>
      </c>
      <c r="D139" s="40">
        <v>13100</v>
      </c>
      <c r="E139" s="40">
        <v>65928</v>
      </c>
      <c r="F139" s="40">
        <v>105730</v>
      </c>
      <c r="G139" s="134">
        <v>59016</v>
      </c>
      <c r="H139" s="135">
        <f t="shared" si="20"/>
        <v>1065219</v>
      </c>
    </row>
    <row r="140" spans="1:8" s="3" customFormat="1" ht="12.75" customHeight="1">
      <c r="A140" s="113" t="s">
        <v>7</v>
      </c>
      <c r="B140" s="40">
        <v>208968</v>
      </c>
      <c r="C140" s="40">
        <v>468130</v>
      </c>
      <c r="D140" s="40">
        <v>16129</v>
      </c>
      <c r="E140" s="40">
        <v>49486</v>
      </c>
      <c r="F140" s="40">
        <v>89360</v>
      </c>
      <c r="G140" s="134">
        <v>51458</v>
      </c>
      <c r="H140" s="135">
        <f t="shared" si="20"/>
        <v>883531</v>
      </c>
    </row>
    <row r="141" spans="1:8" s="3" customFormat="1" ht="12.75" customHeight="1">
      <c r="A141" s="113" t="s">
        <v>8</v>
      </c>
      <c r="B141" s="40">
        <v>52608</v>
      </c>
      <c r="C141" s="40">
        <v>158501</v>
      </c>
      <c r="D141" s="40">
        <v>307</v>
      </c>
      <c r="E141" s="40">
        <v>9996</v>
      </c>
      <c r="F141" s="40">
        <v>58131</v>
      </c>
      <c r="G141" s="134">
        <v>14727</v>
      </c>
      <c r="H141" s="135">
        <f t="shared" si="20"/>
        <v>294270</v>
      </c>
    </row>
    <row r="142" spans="1:8" s="3" customFormat="1" ht="12.75" customHeight="1">
      <c r="A142" s="113" t="s">
        <v>43</v>
      </c>
      <c r="B142" s="40">
        <v>81320</v>
      </c>
      <c r="C142" s="40">
        <v>236968</v>
      </c>
      <c r="D142" s="40">
        <v>3589</v>
      </c>
      <c r="E142" s="40">
        <v>15659</v>
      </c>
      <c r="F142" s="40">
        <v>4551</v>
      </c>
      <c r="G142" s="134">
        <v>12406</v>
      </c>
      <c r="H142" s="135">
        <f t="shared" si="20"/>
        <v>354493</v>
      </c>
    </row>
    <row r="143" spans="1:8" s="3" customFormat="1" ht="12.75" customHeight="1">
      <c r="A143" s="113" t="s">
        <v>44</v>
      </c>
      <c r="B143" s="40">
        <v>98269</v>
      </c>
      <c r="C143" s="40">
        <v>233376</v>
      </c>
      <c r="D143" s="40">
        <v>9822</v>
      </c>
      <c r="E143" s="40">
        <v>22017</v>
      </c>
      <c r="F143" s="40">
        <v>35452</v>
      </c>
      <c r="G143" s="134">
        <v>11607</v>
      </c>
      <c r="H143" s="135">
        <f t="shared" si="20"/>
        <v>410543</v>
      </c>
    </row>
    <row r="144" spans="1:8" s="3" customFormat="1" ht="12.75" customHeight="1">
      <c r="A144" s="113" t="s">
        <v>45</v>
      </c>
      <c r="B144" s="40">
        <v>110554</v>
      </c>
      <c r="C144" s="40">
        <v>196486</v>
      </c>
      <c r="D144" s="40">
        <v>15846</v>
      </c>
      <c r="E144" s="40">
        <v>55432</v>
      </c>
      <c r="F144" s="40">
        <v>42222</v>
      </c>
      <c r="G144" s="134">
        <v>23127</v>
      </c>
      <c r="H144" s="135">
        <f t="shared" si="20"/>
        <v>443667</v>
      </c>
    </row>
    <row r="145" spans="1:8" s="3" customFormat="1" ht="12.75" customHeight="1">
      <c r="A145" s="113" t="s">
        <v>46</v>
      </c>
      <c r="B145" s="40">
        <v>68261</v>
      </c>
      <c r="C145" s="40">
        <v>289583</v>
      </c>
      <c r="D145" s="40">
        <v>13593</v>
      </c>
      <c r="E145" s="40">
        <v>47176</v>
      </c>
      <c r="F145" s="40">
        <v>52561</v>
      </c>
      <c r="G145" s="134">
        <v>37659</v>
      </c>
      <c r="H145" s="135">
        <f t="shared" si="20"/>
        <v>508833</v>
      </c>
    </row>
    <row r="146" spans="1:8" s="3" customFormat="1" ht="12.75" customHeight="1" thickBot="1">
      <c r="A146" s="122" t="s">
        <v>47</v>
      </c>
      <c r="B146" s="136">
        <v>133932</v>
      </c>
      <c r="C146" s="136">
        <v>447247</v>
      </c>
      <c r="D146" s="136">
        <v>14822</v>
      </c>
      <c r="E146" s="136">
        <v>89015</v>
      </c>
      <c r="F146" s="136">
        <v>70625</v>
      </c>
      <c r="G146" s="137">
        <v>29893</v>
      </c>
      <c r="H146" s="138">
        <f t="shared" si="20"/>
        <v>785534</v>
      </c>
    </row>
    <row r="147" spans="1:8" s="3" customFormat="1" ht="12.75" customHeight="1" thickBot="1">
      <c r="A147" s="29" t="s">
        <v>58</v>
      </c>
      <c r="B147" s="36">
        <f aca="true" t="shared" si="21" ref="B147:H147">SUM(B135:B146)</f>
        <v>1445479</v>
      </c>
      <c r="C147" s="36">
        <f t="shared" si="21"/>
        <v>4284540</v>
      </c>
      <c r="D147" s="36">
        <f t="shared" si="21"/>
        <v>147808</v>
      </c>
      <c r="E147" s="36">
        <f t="shared" si="21"/>
        <v>529420</v>
      </c>
      <c r="F147" s="36">
        <f t="shared" si="21"/>
        <v>719583</v>
      </c>
      <c r="G147" s="36">
        <f t="shared" si="21"/>
        <v>405307</v>
      </c>
      <c r="H147" s="36">
        <f t="shared" si="21"/>
        <v>7532137</v>
      </c>
    </row>
    <row r="148" spans="1:8" s="3" customFormat="1" ht="12.75" customHeight="1">
      <c r="A148" s="114" t="s">
        <v>41</v>
      </c>
      <c r="B148" s="45">
        <v>180061</v>
      </c>
      <c r="C148" s="45">
        <v>157141</v>
      </c>
      <c r="D148" s="45">
        <v>1616</v>
      </c>
      <c r="E148" s="45">
        <v>12497</v>
      </c>
      <c r="F148" s="45">
        <v>35926</v>
      </c>
      <c r="G148" s="132">
        <v>13794</v>
      </c>
      <c r="H148" s="133">
        <f aca="true" t="shared" si="22" ref="H148:H159">SUM(B148:G148)</f>
        <v>401035</v>
      </c>
    </row>
    <row r="149" spans="1:8" s="3" customFormat="1" ht="12.75" customHeight="1">
      <c r="A149" s="113" t="s">
        <v>42</v>
      </c>
      <c r="B149" s="40">
        <v>71924</v>
      </c>
      <c r="C149" s="40">
        <v>247953</v>
      </c>
      <c r="D149" s="40">
        <v>10313</v>
      </c>
      <c r="E149" s="40">
        <v>40263</v>
      </c>
      <c r="F149" s="40">
        <v>68756</v>
      </c>
      <c r="G149" s="134">
        <v>25324</v>
      </c>
      <c r="H149" s="135">
        <f t="shared" si="22"/>
        <v>464533</v>
      </c>
    </row>
    <row r="150" spans="1:8" s="3" customFormat="1" ht="12.75" customHeight="1">
      <c r="A150" s="113" t="s">
        <v>4</v>
      </c>
      <c r="B150" s="40">
        <v>88489</v>
      </c>
      <c r="C150" s="40">
        <v>299509</v>
      </c>
      <c r="D150" s="40">
        <v>30618</v>
      </c>
      <c r="E150" s="40">
        <v>40173</v>
      </c>
      <c r="F150" s="40">
        <v>49598</v>
      </c>
      <c r="G150" s="134">
        <v>34562</v>
      </c>
      <c r="H150" s="135">
        <f t="shared" si="22"/>
        <v>542949</v>
      </c>
    </row>
    <row r="151" spans="1:8" s="3" customFormat="1" ht="12.75" customHeight="1">
      <c r="A151" s="113" t="s">
        <v>5</v>
      </c>
      <c r="B151" s="40">
        <v>126495</v>
      </c>
      <c r="C151" s="40">
        <v>432842</v>
      </c>
      <c r="D151" s="40">
        <v>16810</v>
      </c>
      <c r="E151" s="40">
        <v>30819</v>
      </c>
      <c r="F151" s="40">
        <v>66520</v>
      </c>
      <c r="G151" s="134">
        <v>28890</v>
      </c>
      <c r="H151" s="135">
        <f t="shared" si="22"/>
        <v>702376</v>
      </c>
    </row>
    <row r="152" spans="1:8" s="3" customFormat="1" ht="12.75" customHeight="1">
      <c r="A152" s="113" t="s">
        <v>6</v>
      </c>
      <c r="B152" s="40">
        <v>129389</v>
      </c>
      <c r="C152" s="40">
        <v>399703</v>
      </c>
      <c r="D152" s="40">
        <v>12939</v>
      </c>
      <c r="E152" s="40">
        <v>40899</v>
      </c>
      <c r="F152" s="40">
        <v>67557</v>
      </c>
      <c r="G152" s="134">
        <v>51856</v>
      </c>
      <c r="H152" s="135">
        <f t="shared" si="22"/>
        <v>702343</v>
      </c>
    </row>
    <row r="153" spans="1:8" s="3" customFormat="1" ht="12.75" customHeight="1">
      <c r="A153" s="113" t="s">
        <v>7</v>
      </c>
      <c r="B153" s="40">
        <v>226890</v>
      </c>
      <c r="C153" s="40">
        <v>369739</v>
      </c>
      <c r="D153" s="40">
        <v>51911</v>
      </c>
      <c r="E153" s="40">
        <v>40631</v>
      </c>
      <c r="F153" s="40">
        <v>58685</v>
      </c>
      <c r="G153" s="134">
        <v>30154</v>
      </c>
      <c r="H153" s="135">
        <f t="shared" si="22"/>
        <v>778010</v>
      </c>
    </row>
    <row r="154" spans="1:8" s="3" customFormat="1" ht="12.75" customHeight="1">
      <c r="A154" s="113" t="s">
        <v>8</v>
      </c>
      <c r="B154" s="40">
        <v>135000</v>
      </c>
      <c r="C154" s="40">
        <v>360502</v>
      </c>
      <c r="D154" s="40">
        <v>4030</v>
      </c>
      <c r="E154" s="40">
        <v>34254</v>
      </c>
      <c r="F154" s="40">
        <v>75510</v>
      </c>
      <c r="G154" s="134">
        <v>34377</v>
      </c>
      <c r="H154" s="135">
        <f t="shared" si="22"/>
        <v>643673</v>
      </c>
    </row>
    <row r="155" spans="1:8" s="3" customFormat="1" ht="12.75" customHeight="1">
      <c r="A155" s="113" t="s">
        <v>43</v>
      </c>
      <c r="B155" s="40">
        <v>87432</v>
      </c>
      <c r="C155" s="40">
        <v>308626</v>
      </c>
      <c r="D155" s="40">
        <v>11214</v>
      </c>
      <c r="E155" s="40">
        <v>111774</v>
      </c>
      <c r="F155" s="40">
        <v>90163</v>
      </c>
      <c r="G155" s="134">
        <v>46444</v>
      </c>
      <c r="H155" s="135">
        <f t="shared" si="22"/>
        <v>655653</v>
      </c>
    </row>
    <row r="156" spans="1:8" s="3" customFormat="1" ht="12.75" customHeight="1">
      <c r="A156" s="113" t="s">
        <v>44</v>
      </c>
      <c r="B156" s="40">
        <v>193060</v>
      </c>
      <c r="C156" s="40">
        <v>309350</v>
      </c>
      <c r="D156" s="40">
        <v>1476</v>
      </c>
      <c r="E156" s="40">
        <v>57456</v>
      </c>
      <c r="F156" s="40">
        <v>63394</v>
      </c>
      <c r="G156" s="134">
        <v>39456</v>
      </c>
      <c r="H156" s="135">
        <f t="shared" si="22"/>
        <v>664192</v>
      </c>
    </row>
    <row r="157" spans="1:8" s="3" customFormat="1" ht="12.75" customHeight="1">
      <c r="A157" s="113" t="s">
        <v>45</v>
      </c>
      <c r="B157" s="40">
        <v>111198</v>
      </c>
      <c r="C157" s="40">
        <v>484901</v>
      </c>
      <c r="D157" s="40">
        <v>4810</v>
      </c>
      <c r="E157" s="40">
        <v>44832</v>
      </c>
      <c r="F157" s="40">
        <v>64608</v>
      </c>
      <c r="G157" s="134">
        <v>37874</v>
      </c>
      <c r="H157" s="135">
        <f t="shared" si="22"/>
        <v>748223</v>
      </c>
    </row>
    <row r="158" spans="1:8" s="3" customFormat="1" ht="12.75" customHeight="1">
      <c r="A158" s="113" t="s">
        <v>46</v>
      </c>
      <c r="B158" s="40">
        <v>97190</v>
      </c>
      <c r="C158" s="40">
        <v>369767</v>
      </c>
      <c r="D158" s="40">
        <v>5759</v>
      </c>
      <c r="E158" s="40">
        <v>48995</v>
      </c>
      <c r="F158" s="40">
        <v>81578</v>
      </c>
      <c r="G158" s="134">
        <v>24830</v>
      </c>
      <c r="H158" s="135">
        <f t="shared" si="22"/>
        <v>628119</v>
      </c>
    </row>
    <row r="159" spans="1:8" s="3" customFormat="1" ht="12.75" customHeight="1" thickBot="1">
      <c r="A159" s="122" t="s">
        <v>47</v>
      </c>
      <c r="B159" s="136">
        <v>163375</v>
      </c>
      <c r="C159" s="136">
        <v>610407</v>
      </c>
      <c r="D159" s="136">
        <v>5572</v>
      </c>
      <c r="E159" s="136">
        <v>75709</v>
      </c>
      <c r="F159" s="136">
        <v>92944</v>
      </c>
      <c r="G159" s="137">
        <v>42207</v>
      </c>
      <c r="H159" s="138">
        <f t="shared" si="22"/>
        <v>990214</v>
      </c>
    </row>
    <row r="160" spans="1:8" s="3" customFormat="1" ht="12.75" customHeight="1" thickBot="1">
      <c r="A160" s="29" t="s">
        <v>59</v>
      </c>
      <c r="B160" s="36">
        <f aca="true" t="shared" si="23" ref="B160:H160">SUM(B148:B159)</f>
        <v>1610503</v>
      </c>
      <c r="C160" s="36">
        <f t="shared" si="23"/>
        <v>4350440</v>
      </c>
      <c r="D160" s="36">
        <f t="shared" si="23"/>
        <v>157068</v>
      </c>
      <c r="E160" s="36">
        <f t="shared" si="23"/>
        <v>578302</v>
      </c>
      <c r="F160" s="36">
        <f t="shared" si="23"/>
        <v>815239</v>
      </c>
      <c r="G160" s="36">
        <f t="shared" si="23"/>
        <v>409768</v>
      </c>
      <c r="H160" s="36">
        <f t="shared" si="23"/>
        <v>7921320</v>
      </c>
    </row>
    <row r="161" spans="1:8" s="3" customFormat="1" ht="12.75" customHeight="1">
      <c r="A161" s="114" t="s">
        <v>41</v>
      </c>
      <c r="B161" s="45">
        <v>49840</v>
      </c>
      <c r="C161" s="45">
        <v>229893</v>
      </c>
      <c r="D161" s="45">
        <v>5232</v>
      </c>
      <c r="E161" s="45">
        <v>12947</v>
      </c>
      <c r="F161" s="45">
        <v>74495</v>
      </c>
      <c r="G161" s="132">
        <v>39175</v>
      </c>
      <c r="H161" s="133">
        <f>SUM(B161:G161)</f>
        <v>411582</v>
      </c>
    </row>
    <row r="162" spans="1:8" s="3" customFormat="1" ht="12.75" customHeight="1">
      <c r="A162" s="113" t="s">
        <v>42</v>
      </c>
      <c r="B162" s="40">
        <v>159585</v>
      </c>
      <c r="C162" s="40">
        <v>340619</v>
      </c>
      <c r="D162" s="40">
        <v>12782</v>
      </c>
      <c r="E162" s="40">
        <v>39629</v>
      </c>
      <c r="F162" s="40">
        <v>94414</v>
      </c>
      <c r="G162" s="134">
        <v>27809</v>
      </c>
      <c r="H162" s="135">
        <f>SUM(B162:G162)</f>
        <v>674838</v>
      </c>
    </row>
    <row r="163" spans="1:8" s="3" customFormat="1" ht="12.75" customHeight="1">
      <c r="A163" s="113" t="s">
        <v>4</v>
      </c>
      <c r="B163" s="40">
        <v>127647</v>
      </c>
      <c r="C163" s="40">
        <v>462626</v>
      </c>
      <c r="D163" s="40">
        <v>10319</v>
      </c>
      <c r="E163" s="40">
        <v>39084</v>
      </c>
      <c r="F163" s="40">
        <v>109373</v>
      </c>
      <c r="G163" s="134">
        <v>42244</v>
      </c>
      <c r="H163" s="135">
        <f aca="true" t="shared" si="24" ref="H163:H169">SUM(B163:G163)</f>
        <v>791293</v>
      </c>
    </row>
    <row r="164" spans="1:8" s="3" customFormat="1" ht="12.75" customHeight="1">
      <c r="A164" s="113" t="s">
        <v>5</v>
      </c>
      <c r="B164" s="40">
        <v>131974</v>
      </c>
      <c r="C164" s="40">
        <v>480241</v>
      </c>
      <c r="D164" s="40">
        <v>27088</v>
      </c>
      <c r="E164" s="40">
        <v>78708</v>
      </c>
      <c r="F164" s="40">
        <v>98782</v>
      </c>
      <c r="G164" s="134">
        <v>46958</v>
      </c>
      <c r="H164" s="135">
        <f t="shared" si="24"/>
        <v>863751</v>
      </c>
    </row>
    <row r="165" spans="1:8" s="3" customFormat="1" ht="12.75" customHeight="1">
      <c r="A165" s="113" t="s">
        <v>6</v>
      </c>
      <c r="B165" s="40">
        <v>95591</v>
      </c>
      <c r="C165" s="40">
        <v>459772</v>
      </c>
      <c r="D165" s="40">
        <v>17244</v>
      </c>
      <c r="E165" s="40">
        <v>52666</v>
      </c>
      <c r="F165" s="40">
        <v>84600</v>
      </c>
      <c r="G165" s="134">
        <v>34689</v>
      </c>
      <c r="H165" s="135">
        <f t="shared" si="24"/>
        <v>744562</v>
      </c>
    </row>
    <row r="166" spans="1:8" s="3" customFormat="1" ht="12.75" customHeight="1">
      <c r="A166" s="113" t="s">
        <v>7</v>
      </c>
      <c r="B166" s="40">
        <v>137814</v>
      </c>
      <c r="C166" s="40">
        <v>519961</v>
      </c>
      <c r="D166" s="40">
        <v>9211</v>
      </c>
      <c r="E166" s="40">
        <v>42853</v>
      </c>
      <c r="F166" s="40">
        <v>109538</v>
      </c>
      <c r="G166" s="134">
        <v>60655</v>
      </c>
      <c r="H166" s="135">
        <f t="shared" si="24"/>
        <v>880032</v>
      </c>
    </row>
    <row r="167" spans="1:8" s="3" customFormat="1" ht="12.75" customHeight="1">
      <c r="A167" s="113" t="s">
        <v>8</v>
      </c>
      <c r="B167" s="40">
        <v>34166</v>
      </c>
      <c r="C167" s="40">
        <v>548192</v>
      </c>
      <c r="D167" s="40">
        <v>13334</v>
      </c>
      <c r="E167" s="40">
        <v>78547</v>
      </c>
      <c r="F167" s="40">
        <v>107460</v>
      </c>
      <c r="G167" s="134">
        <v>40933</v>
      </c>
      <c r="H167" s="135">
        <f t="shared" si="24"/>
        <v>822632</v>
      </c>
    </row>
    <row r="168" spans="1:8" s="3" customFormat="1" ht="12.75" customHeight="1">
      <c r="A168" s="113" t="s">
        <v>43</v>
      </c>
      <c r="B168" s="40">
        <v>93390</v>
      </c>
      <c r="C168" s="40">
        <v>402674</v>
      </c>
      <c r="D168" s="40">
        <v>16894</v>
      </c>
      <c r="E168" s="40">
        <v>62690</v>
      </c>
      <c r="F168" s="40">
        <v>118838</v>
      </c>
      <c r="G168" s="134">
        <v>54521</v>
      </c>
      <c r="H168" s="135">
        <f t="shared" si="24"/>
        <v>749007</v>
      </c>
    </row>
    <row r="169" spans="1:8" s="3" customFormat="1" ht="12.75" customHeight="1">
      <c r="A169" s="113" t="s">
        <v>44</v>
      </c>
      <c r="B169" s="40">
        <v>409244</v>
      </c>
      <c r="C169" s="40">
        <v>608282</v>
      </c>
      <c r="D169" s="40">
        <v>8108</v>
      </c>
      <c r="E169" s="40">
        <v>63633</v>
      </c>
      <c r="F169" s="40">
        <v>147482</v>
      </c>
      <c r="G169" s="134">
        <v>47113</v>
      </c>
      <c r="H169" s="135">
        <f t="shared" si="24"/>
        <v>1283862</v>
      </c>
    </row>
    <row r="170" spans="1:8" s="3" customFormat="1" ht="12.75" customHeight="1">
      <c r="A170" s="113" t="s">
        <v>45</v>
      </c>
      <c r="B170" s="40">
        <v>130677</v>
      </c>
      <c r="C170" s="40">
        <v>587069</v>
      </c>
      <c r="D170" s="40">
        <v>12490</v>
      </c>
      <c r="E170" s="40">
        <v>67336</v>
      </c>
      <c r="F170" s="40">
        <v>139800</v>
      </c>
      <c r="G170" s="134">
        <v>73620</v>
      </c>
      <c r="H170" s="135">
        <f>SUM(B170:G170)</f>
        <v>1010992</v>
      </c>
    </row>
    <row r="171" spans="1:8" s="3" customFormat="1" ht="12.75" customHeight="1">
      <c r="A171" s="113" t="s">
        <v>46</v>
      </c>
      <c r="B171" s="40">
        <v>152770</v>
      </c>
      <c r="C171" s="40">
        <v>764845</v>
      </c>
      <c r="D171" s="40">
        <v>13181</v>
      </c>
      <c r="E171" s="40">
        <v>78940</v>
      </c>
      <c r="F171" s="40">
        <v>119684</v>
      </c>
      <c r="G171" s="134">
        <v>83172</v>
      </c>
      <c r="H171" s="135">
        <f>SUM(B171:G171)</f>
        <v>1212592</v>
      </c>
    </row>
    <row r="172" spans="1:8" s="3" customFormat="1" ht="12.75" customHeight="1" thickBot="1">
      <c r="A172" s="122" t="s">
        <v>47</v>
      </c>
      <c r="B172" s="136">
        <v>625058</v>
      </c>
      <c r="C172" s="136">
        <v>3029584</v>
      </c>
      <c r="D172" s="136">
        <v>48739</v>
      </c>
      <c r="E172" s="136">
        <v>336354</v>
      </c>
      <c r="F172" s="136">
        <v>538430</v>
      </c>
      <c r="G172" s="137">
        <v>257545</v>
      </c>
      <c r="H172" s="138">
        <f>SUM(B172:G172)</f>
        <v>4835710</v>
      </c>
    </row>
    <row r="173" spans="1:8" s="3" customFormat="1" ht="12.75" customHeight="1" thickBot="1">
      <c r="A173" s="29" t="s">
        <v>60</v>
      </c>
      <c r="B173" s="36">
        <f aca="true" t="shared" si="25" ref="B173:H173">SUM(B161:B172)</f>
        <v>2147756</v>
      </c>
      <c r="C173" s="36">
        <f t="shared" si="25"/>
        <v>8433758</v>
      </c>
      <c r="D173" s="36">
        <f t="shared" si="25"/>
        <v>194622</v>
      </c>
      <c r="E173" s="36">
        <f t="shared" si="25"/>
        <v>953387</v>
      </c>
      <c r="F173" s="36">
        <f t="shared" si="25"/>
        <v>1742896</v>
      </c>
      <c r="G173" s="36">
        <f t="shared" si="25"/>
        <v>808434</v>
      </c>
      <c r="H173" s="36">
        <f t="shared" si="25"/>
        <v>14280853</v>
      </c>
    </row>
    <row r="174" spans="1:8" s="3" customFormat="1" ht="12.75" customHeight="1">
      <c r="A174" s="114" t="s">
        <v>41</v>
      </c>
      <c r="B174" s="45">
        <v>4296</v>
      </c>
      <c r="C174" s="45">
        <v>63695</v>
      </c>
      <c r="D174" s="45">
        <v>113</v>
      </c>
      <c r="E174" s="45">
        <v>14197</v>
      </c>
      <c r="F174" s="45">
        <v>20482</v>
      </c>
      <c r="G174" s="132">
        <v>8220</v>
      </c>
      <c r="H174" s="133">
        <f>SUM(B174:G174)</f>
        <v>111003</v>
      </c>
    </row>
    <row r="175" spans="1:8" s="3" customFormat="1" ht="12.75" customHeight="1">
      <c r="A175" s="113" t="s">
        <v>42</v>
      </c>
      <c r="B175" s="40">
        <v>138676</v>
      </c>
      <c r="C175" s="40">
        <v>366100</v>
      </c>
      <c r="D175" s="40">
        <v>201299</v>
      </c>
      <c r="E175" s="40">
        <v>64089</v>
      </c>
      <c r="F175" s="40">
        <v>92725</v>
      </c>
      <c r="G175" s="134">
        <v>46546</v>
      </c>
      <c r="H175" s="135">
        <f>SUM(B175:G175)</f>
        <v>909435</v>
      </c>
    </row>
    <row r="176" spans="1:8" s="3" customFormat="1" ht="12.75" customHeight="1">
      <c r="A176" s="113" t="s">
        <v>4</v>
      </c>
      <c r="B176" s="40">
        <v>75167</v>
      </c>
      <c r="C176" s="40">
        <v>418961</v>
      </c>
      <c r="D176" s="40">
        <v>6659</v>
      </c>
      <c r="E176" s="40">
        <v>41644</v>
      </c>
      <c r="F176" s="40">
        <v>78159</v>
      </c>
      <c r="G176" s="134">
        <v>58712</v>
      </c>
      <c r="H176" s="135">
        <f aca="true" t="shared" si="26" ref="H176:H184">SUM(B176:G176)</f>
        <v>679302</v>
      </c>
    </row>
    <row r="177" spans="1:8" s="3" customFormat="1" ht="12.75" customHeight="1">
      <c r="A177" s="113" t="s">
        <v>5</v>
      </c>
      <c r="B177" s="40">
        <v>52707</v>
      </c>
      <c r="C177" s="40">
        <v>560594</v>
      </c>
      <c r="D177" s="40">
        <v>1649</v>
      </c>
      <c r="E177" s="40">
        <v>56853</v>
      </c>
      <c r="F177" s="40">
        <v>106844</v>
      </c>
      <c r="G177" s="134">
        <v>70604</v>
      </c>
      <c r="H177" s="135">
        <f t="shared" si="26"/>
        <v>849251</v>
      </c>
    </row>
    <row r="178" spans="1:8" s="3" customFormat="1" ht="12.75" customHeight="1">
      <c r="A178" s="113" t="s">
        <v>6</v>
      </c>
      <c r="B178" s="40">
        <v>39145</v>
      </c>
      <c r="C178" s="40">
        <v>544659</v>
      </c>
      <c r="D178" s="40">
        <v>2168</v>
      </c>
      <c r="E178" s="40">
        <v>82419</v>
      </c>
      <c r="F178" s="40">
        <v>116686</v>
      </c>
      <c r="G178" s="134">
        <v>80944</v>
      </c>
      <c r="H178" s="135">
        <f t="shared" si="26"/>
        <v>866021</v>
      </c>
    </row>
    <row r="179" spans="1:8" s="3" customFormat="1" ht="12.75" customHeight="1">
      <c r="A179" s="113" t="s">
        <v>7</v>
      </c>
      <c r="B179" s="40">
        <v>169541</v>
      </c>
      <c r="C179" s="40">
        <v>1099984</v>
      </c>
      <c r="D179" s="40">
        <v>19889</v>
      </c>
      <c r="E179" s="40">
        <v>118007</v>
      </c>
      <c r="F179" s="40">
        <v>271559</v>
      </c>
      <c r="G179" s="134">
        <v>114659</v>
      </c>
      <c r="H179" s="135">
        <f t="shared" si="26"/>
        <v>1793639</v>
      </c>
    </row>
    <row r="180" spans="1:8" s="3" customFormat="1" ht="12.75" customHeight="1">
      <c r="A180" s="113" t="s">
        <v>8</v>
      </c>
      <c r="B180" s="40">
        <v>38938</v>
      </c>
      <c r="C180" s="40">
        <v>234914</v>
      </c>
      <c r="D180" s="40">
        <v>5850</v>
      </c>
      <c r="E180" s="40">
        <v>40267</v>
      </c>
      <c r="F180" s="40">
        <v>26734</v>
      </c>
      <c r="G180" s="134">
        <v>11610</v>
      </c>
      <c r="H180" s="135">
        <f t="shared" si="26"/>
        <v>358313</v>
      </c>
    </row>
    <row r="181" spans="1:8" s="3" customFormat="1" ht="12.75" customHeight="1">
      <c r="A181" s="113" t="s">
        <v>43</v>
      </c>
      <c r="B181" s="40">
        <v>74426</v>
      </c>
      <c r="C181" s="40">
        <v>428028</v>
      </c>
      <c r="D181" s="40">
        <v>8201</v>
      </c>
      <c r="E181" s="40">
        <v>62506</v>
      </c>
      <c r="F181" s="40">
        <v>86166</v>
      </c>
      <c r="G181" s="134">
        <v>47505</v>
      </c>
      <c r="H181" s="135">
        <f t="shared" si="26"/>
        <v>706832</v>
      </c>
    </row>
    <row r="182" spans="1:8" s="3" customFormat="1" ht="12.75" customHeight="1">
      <c r="A182" s="113" t="s">
        <v>44</v>
      </c>
      <c r="B182" s="40">
        <v>260609</v>
      </c>
      <c r="C182" s="40">
        <v>680318</v>
      </c>
      <c r="D182" s="40">
        <v>14341</v>
      </c>
      <c r="E182" s="40">
        <v>99384</v>
      </c>
      <c r="F182" s="40">
        <v>108869</v>
      </c>
      <c r="G182" s="134">
        <v>72132</v>
      </c>
      <c r="H182" s="135">
        <f t="shared" si="26"/>
        <v>1235653</v>
      </c>
    </row>
    <row r="183" spans="1:8" s="3" customFormat="1" ht="12.75" customHeight="1">
      <c r="A183" s="113" t="s">
        <v>45</v>
      </c>
      <c r="B183" s="40">
        <v>56866</v>
      </c>
      <c r="C183" s="40">
        <v>487419</v>
      </c>
      <c r="D183" s="40">
        <v>2731</v>
      </c>
      <c r="E183" s="40">
        <v>111253</v>
      </c>
      <c r="F183" s="40">
        <v>125607</v>
      </c>
      <c r="G183" s="134">
        <v>49748</v>
      </c>
      <c r="H183" s="135">
        <f t="shared" si="26"/>
        <v>833624</v>
      </c>
    </row>
    <row r="184" spans="1:8" s="3" customFormat="1" ht="12.75" customHeight="1">
      <c r="A184" s="113" t="s">
        <v>46</v>
      </c>
      <c r="B184" s="40">
        <v>140537</v>
      </c>
      <c r="C184" s="40">
        <v>627743</v>
      </c>
      <c r="D184" s="40">
        <v>3510</v>
      </c>
      <c r="E184" s="40">
        <v>63909</v>
      </c>
      <c r="F184" s="40">
        <v>117564</v>
      </c>
      <c r="G184" s="134">
        <v>51219</v>
      </c>
      <c r="H184" s="135">
        <f t="shared" si="26"/>
        <v>1004482</v>
      </c>
    </row>
    <row r="185" spans="1:8" s="3" customFormat="1" ht="12.75" customHeight="1" thickBot="1">
      <c r="A185" s="122" t="s">
        <v>47</v>
      </c>
      <c r="B185" s="136">
        <v>352750</v>
      </c>
      <c r="C185" s="136">
        <v>1247272</v>
      </c>
      <c r="D185" s="136">
        <v>14984</v>
      </c>
      <c r="E185" s="136">
        <v>153719</v>
      </c>
      <c r="F185" s="136">
        <v>273774</v>
      </c>
      <c r="G185" s="137">
        <v>119088</v>
      </c>
      <c r="H185" s="138">
        <f>SUM(B185:G185)</f>
        <v>2161587</v>
      </c>
    </row>
    <row r="186" spans="1:8" s="3" customFormat="1" ht="12.75" customHeight="1" thickBot="1">
      <c r="A186" s="29" t="s">
        <v>61</v>
      </c>
      <c r="B186" s="36">
        <f aca="true" t="shared" si="27" ref="B186:H186">SUM(B174:B185)</f>
        <v>1403658</v>
      </c>
      <c r="C186" s="36">
        <f t="shared" si="27"/>
        <v>6759687</v>
      </c>
      <c r="D186" s="36">
        <f t="shared" si="27"/>
        <v>281394</v>
      </c>
      <c r="E186" s="36">
        <f t="shared" si="27"/>
        <v>908247</v>
      </c>
      <c r="F186" s="36">
        <f t="shared" si="27"/>
        <v>1425169</v>
      </c>
      <c r="G186" s="36">
        <f t="shared" si="27"/>
        <v>730987</v>
      </c>
      <c r="H186" s="36">
        <f t="shared" si="27"/>
        <v>11509142</v>
      </c>
    </row>
    <row r="187" spans="1:8" s="3" customFormat="1" ht="12.75" customHeight="1">
      <c r="A187" s="114" t="s">
        <v>41</v>
      </c>
      <c r="B187" s="83">
        <v>39762</v>
      </c>
      <c r="C187" s="83">
        <v>401914</v>
      </c>
      <c r="D187" s="83">
        <v>7951</v>
      </c>
      <c r="E187" s="83">
        <v>47234</v>
      </c>
      <c r="F187" s="83">
        <v>64831</v>
      </c>
      <c r="G187" s="139">
        <v>37014</v>
      </c>
      <c r="H187" s="133">
        <f>SUM(B187:G187)</f>
        <v>598706</v>
      </c>
    </row>
    <row r="188" spans="1:8" s="3" customFormat="1" ht="12.75" customHeight="1">
      <c r="A188" s="113" t="s">
        <v>42</v>
      </c>
      <c r="B188" s="85">
        <v>163771</v>
      </c>
      <c r="C188" s="85">
        <v>608112</v>
      </c>
      <c r="D188" s="85">
        <v>16456</v>
      </c>
      <c r="E188" s="85">
        <v>74320</v>
      </c>
      <c r="F188" s="85">
        <v>111154</v>
      </c>
      <c r="G188" s="140">
        <v>59971</v>
      </c>
      <c r="H188" s="135">
        <f>SUM(B188:G188)</f>
        <v>1033784</v>
      </c>
    </row>
    <row r="189" spans="1:8" s="3" customFormat="1" ht="12.75" customHeight="1">
      <c r="A189" s="113" t="s">
        <v>4</v>
      </c>
      <c r="B189" s="85">
        <v>135596</v>
      </c>
      <c r="C189" s="85">
        <v>1083201</v>
      </c>
      <c r="D189" s="85">
        <v>12759</v>
      </c>
      <c r="E189" s="85">
        <v>130786</v>
      </c>
      <c r="F189" s="85">
        <v>188209</v>
      </c>
      <c r="G189" s="140">
        <v>103437</v>
      </c>
      <c r="H189" s="135">
        <f aca="true" t="shared" si="28" ref="H189:H197">SUM(B189:G189)</f>
        <v>1653988</v>
      </c>
    </row>
    <row r="190" spans="1:8" s="3" customFormat="1" ht="12.75" customHeight="1">
      <c r="A190" s="113" t="s">
        <v>5</v>
      </c>
      <c r="B190" s="85">
        <v>100213</v>
      </c>
      <c r="C190" s="85">
        <v>737985</v>
      </c>
      <c r="D190" s="85">
        <v>14468</v>
      </c>
      <c r="E190" s="85">
        <v>72939</v>
      </c>
      <c r="F190" s="85">
        <v>110369</v>
      </c>
      <c r="G190" s="140">
        <v>69458</v>
      </c>
      <c r="H190" s="135">
        <f t="shared" si="28"/>
        <v>1105432</v>
      </c>
    </row>
    <row r="191" spans="1:8" s="3" customFormat="1" ht="12.75" customHeight="1">
      <c r="A191" s="113" t="s">
        <v>6</v>
      </c>
      <c r="B191" s="85">
        <v>217176</v>
      </c>
      <c r="C191" s="85">
        <v>929738</v>
      </c>
      <c r="D191" s="85">
        <v>1158</v>
      </c>
      <c r="E191" s="85">
        <v>89479</v>
      </c>
      <c r="F191" s="85">
        <v>181226</v>
      </c>
      <c r="G191" s="140">
        <v>60518</v>
      </c>
      <c r="H191" s="135">
        <f t="shared" si="28"/>
        <v>1479295</v>
      </c>
    </row>
    <row r="192" spans="1:8" s="3" customFormat="1" ht="12.75" customHeight="1">
      <c r="A192" s="113" t="s">
        <v>7</v>
      </c>
      <c r="B192" s="85">
        <v>104804</v>
      </c>
      <c r="C192" s="85">
        <v>984501</v>
      </c>
      <c r="D192" s="85">
        <v>13845</v>
      </c>
      <c r="E192" s="85">
        <v>107994</v>
      </c>
      <c r="F192" s="85">
        <v>149592</v>
      </c>
      <c r="G192" s="140">
        <v>73352</v>
      </c>
      <c r="H192" s="135">
        <f t="shared" si="28"/>
        <v>1434088</v>
      </c>
    </row>
    <row r="193" spans="1:8" s="3" customFormat="1" ht="12.75" customHeight="1">
      <c r="A193" s="113" t="s">
        <v>8</v>
      </c>
      <c r="B193" s="85">
        <v>127198</v>
      </c>
      <c r="C193" s="85">
        <v>905684</v>
      </c>
      <c r="D193" s="85">
        <v>13018</v>
      </c>
      <c r="E193" s="85">
        <v>121591</v>
      </c>
      <c r="F193" s="85">
        <v>147919</v>
      </c>
      <c r="G193" s="140">
        <v>104236</v>
      </c>
      <c r="H193" s="135">
        <f t="shared" si="28"/>
        <v>1419646</v>
      </c>
    </row>
    <row r="194" spans="1:8" s="3" customFormat="1" ht="12.75" customHeight="1">
      <c r="A194" s="113" t="s">
        <v>43</v>
      </c>
      <c r="B194" s="85">
        <v>118545</v>
      </c>
      <c r="C194" s="85">
        <v>914333</v>
      </c>
      <c r="D194" s="85">
        <v>11294</v>
      </c>
      <c r="E194" s="85">
        <v>111805</v>
      </c>
      <c r="F194" s="85">
        <v>155094</v>
      </c>
      <c r="G194" s="140">
        <v>84104</v>
      </c>
      <c r="H194" s="135">
        <f t="shared" si="28"/>
        <v>1395175</v>
      </c>
    </row>
    <row r="195" spans="1:8" s="3" customFormat="1" ht="12.75" customHeight="1">
      <c r="A195" s="113" t="s">
        <v>44</v>
      </c>
      <c r="B195" s="85">
        <v>114602</v>
      </c>
      <c r="C195" s="85">
        <v>766020</v>
      </c>
      <c r="D195" s="85">
        <v>5803</v>
      </c>
      <c r="E195" s="85">
        <v>103088</v>
      </c>
      <c r="F195" s="85">
        <v>119720</v>
      </c>
      <c r="G195" s="140">
        <v>75673</v>
      </c>
      <c r="H195" s="135">
        <f t="shared" si="28"/>
        <v>1184906</v>
      </c>
    </row>
    <row r="196" spans="1:8" s="3" customFormat="1" ht="12.75" customHeight="1">
      <c r="A196" s="113" t="s">
        <v>45</v>
      </c>
      <c r="B196" s="85">
        <v>128515</v>
      </c>
      <c r="C196" s="85">
        <v>625209</v>
      </c>
      <c r="D196" s="85">
        <v>9650</v>
      </c>
      <c r="E196" s="85">
        <v>97024</v>
      </c>
      <c r="F196" s="85">
        <v>190596</v>
      </c>
      <c r="G196" s="140">
        <v>122899</v>
      </c>
      <c r="H196" s="135">
        <f t="shared" si="28"/>
        <v>1173893</v>
      </c>
    </row>
    <row r="197" spans="1:8" s="3" customFormat="1" ht="12.75" customHeight="1">
      <c r="A197" s="113" t="s">
        <v>46</v>
      </c>
      <c r="B197" s="85">
        <v>186681</v>
      </c>
      <c r="C197" s="85">
        <v>524657</v>
      </c>
      <c r="D197" s="85">
        <v>12904</v>
      </c>
      <c r="E197" s="85">
        <v>104984</v>
      </c>
      <c r="F197" s="85">
        <v>121295</v>
      </c>
      <c r="G197" s="140">
        <v>78130</v>
      </c>
      <c r="H197" s="135">
        <f t="shared" si="28"/>
        <v>1028651</v>
      </c>
    </row>
    <row r="198" spans="1:8" s="3" customFormat="1" ht="12.75" customHeight="1" thickBot="1">
      <c r="A198" s="122" t="s">
        <v>47</v>
      </c>
      <c r="B198" s="141">
        <v>128095</v>
      </c>
      <c r="C198" s="141">
        <v>1132987</v>
      </c>
      <c r="D198" s="141">
        <v>48605</v>
      </c>
      <c r="E198" s="141">
        <v>94644</v>
      </c>
      <c r="F198" s="141">
        <v>168276</v>
      </c>
      <c r="G198" s="142">
        <v>107232</v>
      </c>
      <c r="H198" s="138">
        <f>SUM(B198:G198)</f>
        <v>1679839</v>
      </c>
    </row>
    <row r="199" spans="1:8" s="3" customFormat="1" ht="12.75" customHeight="1" thickBot="1">
      <c r="A199" s="29" t="s">
        <v>62</v>
      </c>
      <c r="B199" s="36">
        <f>SUM(B187:B198)</f>
        <v>1564958</v>
      </c>
      <c r="C199" s="36">
        <f aca="true" t="shared" si="29" ref="C199:H199">SUM(C187:C198)</f>
        <v>9614341</v>
      </c>
      <c r="D199" s="36">
        <f t="shared" si="29"/>
        <v>167911</v>
      </c>
      <c r="E199" s="36">
        <f t="shared" si="29"/>
        <v>1155888</v>
      </c>
      <c r="F199" s="36">
        <f t="shared" si="29"/>
        <v>1708281</v>
      </c>
      <c r="G199" s="36">
        <f t="shared" si="29"/>
        <v>976024</v>
      </c>
      <c r="H199" s="36">
        <f t="shared" si="29"/>
        <v>15187403</v>
      </c>
    </row>
    <row r="200" spans="1:8" s="3" customFormat="1" ht="12.75" customHeight="1">
      <c r="A200" s="114" t="s">
        <v>41</v>
      </c>
      <c r="B200" s="83">
        <v>54606</v>
      </c>
      <c r="C200" s="83">
        <v>444486</v>
      </c>
      <c r="D200" s="83">
        <v>3730</v>
      </c>
      <c r="E200" s="83">
        <v>80698</v>
      </c>
      <c r="F200" s="83">
        <v>103095</v>
      </c>
      <c r="G200" s="83">
        <v>63789</v>
      </c>
      <c r="H200" s="143">
        <f>SUM(B200:G200)</f>
        <v>750404</v>
      </c>
    </row>
    <row r="201" spans="1:8" s="3" customFormat="1" ht="12.75" customHeight="1">
      <c r="A201" s="113" t="s">
        <v>42</v>
      </c>
      <c r="B201" s="85">
        <v>135643</v>
      </c>
      <c r="C201" s="85">
        <v>586677</v>
      </c>
      <c r="D201" s="85">
        <v>10449</v>
      </c>
      <c r="E201" s="85">
        <v>99994</v>
      </c>
      <c r="F201" s="85">
        <v>119211</v>
      </c>
      <c r="G201" s="85">
        <v>59189</v>
      </c>
      <c r="H201" s="144">
        <f aca="true" t="shared" si="30" ref="H201:H211">SUM(B201:G201)</f>
        <v>1011163</v>
      </c>
    </row>
    <row r="202" spans="1:8" s="3" customFormat="1" ht="12.75" customHeight="1">
      <c r="A202" s="113" t="s">
        <v>4</v>
      </c>
      <c r="B202" s="85">
        <v>108596</v>
      </c>
      <c r="C202" s="85">
        <v>826010</v>
      </c>
      <c r="D202" s="85">
        <v>9609</v>
      </c>
      <c r="E202" s="85">
        <v>129272</v>
      </c>
      <c r="F202" s="85">
        <v>153032</v>
      </c>
      <c r="G202" s="85">
        <v>143515</v>
      </c>
      <c r="H202" s="144">
        <f t="shared" si="30"/>
        <v>1370034</v>
      </c>
    </row>
    <row r="203" spans="1:8" s="3" customFormat="1" ht="12.75" customHeight="1">
      <c r="A203" s="113" t="s">
        <v>5</v>
      </c>
      <c r="B203" s="85">
        <v>154548</v>
      </c>
      <c r="C203" s="85">
        <v>667499</v>
      </c>
      <c r="D203" s="85">
        <v>19790</v>
      </c>
      <c r="E203" s="85">
        <v>100324</v>
      </c>
      <c r="F203" s="85">
        <v>183773</v>
      </c>
      <c r="G203" s="85">
        <v>109360</v>
      </c>
      <c r="H203" s="144">
        <f t="shared" si="30"/>
        <v>1235294</v>
      </c>
    </row>
    <row r="204" spans="1:8" s="3" customFormat="1" ht="12.75" customHeight="1">
      <c r="A204" s="113" t="s">
        <v>6</v>
      </c>
      <c r="B204" s="85">
        <v>155820</v>
      </c>
      <c r="C204" s="85">
        <v>999848</v>
      </c>
      <c r="D204" s="85">
        <v>21128</v>
      </c>
      <c r="E204" s="85">
        <v>119326</v>
      </c>
      <c r="F204" s="85">
        <v>142576</v>
      </c>
      <c r="G204" s="85">
        <v>123661</v>
      </c>
      <c r="H204" s="144">
        <f t="shared" si="30"/>
        <v>1562359</v>
      </c>
    </row>
    <row r="205" spans="1:8" s="3" customFormat="1" ht="12.75" customHeight="1">
      <c r="A205" s="113" t="s">
        <v>7</v>
      </c>
      <c r="B205" s="85">
        <v>172547</v>
      </c>
      <c r="C205" s="85">
        <v>1012481</v>
      </c>
      <c r="D205" s="85">
        <v>9504</v>
      </c>
      <c r="E205" s="85">
        <v>116766</v>
      </c>
      <c r="F205" s="85">
        <v>148440</v>
      </c>
      <c r="G205" s="85">
        <v>104557</v>
      </c>
      <c r="H205" s="144">
        <f t="shared" si="30"/>
        <v>1564295</v>
      </c>
    </row>
    <row r="206" spans="1:8" s="3" customFormat="1" ht="12.75" customHeight="1">
      <c r="A206" s="113" t="s">
        <v>8</v>
      </c>
      <c r="B206" s="85">
        <v>47052</v>
      </c>
      <c r="C206" s="85">
        <v>671447</v>
      </c>
      <c r="D206" s="85">
        <v>4080</v>
      </c>
      <c r="E206" s="85">
        <v>92767</v>
      </c>
      <c r="F206" s="85">
        <v>116005</v>
      </c>
      <c r="G206" s="85">
        <v>63408</v>
      </c>
      <c r="H206" s="144">
        <f t="shared" si="30"/>
        <v>994759</v>
      </c>
    </row>
    <row r="207" spans="1:8" s="3" customFormat="1" ht="12.75" customHeight="1">
      <c r="A207" s="113" t="s">
        <v>43</v>
      </c>
      <c r="B207" s="85">
        <v>133077</v>
      </c>
      <c r="C207" s="85">
        <v>565611</v>
      </c>
      <c r="D207" s="85">
        <v>16285</v>
      </c>
      <c r="E207" s="85">
        <v>101756</v>
      </c>
      <c r="F207" s="85">
        <v>108257</v>
      </c>
      <c r="G207" s="85">
        <v>74361</v>
      </c>
      <c r="H207" s="144">
        <f t="shared" si="30"/>
        <v>999347</v>
      </c>
    </row>
    <row r="208" spans="1:8" s="3" customFormat="1" ht="12.75" customHeight="1">
      <c r="A208" s="113" t="s">
        <v>44</v>
      </c>
      <c r="B208" s="85">
        <v>72891</v>
      </c>
      <c r="C208" s="85">
        <v>593721</v>
      </c>
      <c r="D208" s="85">
        <v>43304</v>
      </c>
      <c r="E208" s="85">
        <v>121831</v>
      </c>
      <c r="F208" s="85">
        <v>141263</v>
      </c>
      <c r="G208" s="85">
        <v>66365</v>
      </c>
      <c r="H208" s="144">
        <f t="shared" si="30"/>
        <v>1039375</v>
      </c>
    </row>
    <row r="209" spans="1:8" s="3" customFormat="1" ht="12.75" customHeight="1">
      <c r="A209" s="113" t="s">
        <v>45</v>
      </c>
      <c r="B209" s="85">
        <v>71431</v>
      </c>
      <c r="C209" s="85">
        <v>596646</v>
      </c>
      <c r="D209" s="85">
        <v>7794</v>
      </c>
      <c r="E209" s="85">
        <v>112850</v>
      </c>
      <c r="F209" s="85">
        <v>132078</v>
      </c>
      <c r="G209" s="85">
        <v>100177</v>
      </c>
      <c r="H209" s="144">
        <f t="shared" si="30"/>
        <v>1020976</v>
      </c>
    </row>
    <row r="210" spans="1:8" s="3" customFormat="1" ht="12.75" customHeight="1">
      <c r="A210" s="113" t="s">
        <v>46</v>
      </c>
      <c r="B210" s="85">
        <v>59989</v>
      </c>
      <c r="C210" s="85">
        <v>584969</v>
      </c>
      <c r="D210" s="85">
        <v>6255</v>
      </c>
      <c r="E210" s="85">
        <v>54328</v>
      </c>
      <c r="F210" s="85">
        <v>118060</v>
      </c>
      <c r="G210" s="85">
        <v>79096</v>
      </c>
      <c r="H210" s="144">
        <f t="shared" si="30"/>
        <v>902697</v>
      </c>
    </row>
    <row r="211" spans="1:8" s="3" customFormat="1" ht="12.75" customHeight="1" thickBot="1">
      <c r="A211" s="122" t="s">
        <v>47</v>
      </c>
      <c r="B211" s="141">
        <v>165368</v>
      </c>
      <c r="C211" s="141">
        <v>933179</v>
      </c>
      <c r="D211" s="141">
        <v>11375</v>
      </c>
      <c r="E211" s="141">
        <v>78842</v>
      </c>
      <c r="F211" s="141">
        <v>172395</v>
      </c>
      <c r="G211" s="141">
        <v>77944</v>
      </c>
      <c r="H211" s="145">
        <f t="shared" si="30"/>
        <v>1439103</v>
      </c>
    </row>
    <row r="212" spans="1:8" s="3" customFormat="1" ht="12.75" customHeight="1" thickBot="1">
      <c r="A212" s="29" t="s">
        <v>14</v>
      </c>
      <c r="B212" s="36">
        <f>SUM(B200:B211)</f>
        <v>1331568</v>
      </c>
      <c r="C212" s="36">
        <f aca="true" t="shared" si="31" ref="C212:H212">SUM(C200:C211)</f>
        <v>8482574</v>
      </c>
      <c r="D212" s="36">
        <f t="shared" si="31"/>
        <v>163303</v>
      </c>
      <c r="E212" s="36">
        <f t="shared" si="31"/>
        <v>1208754</v>
      </c>
      <c r="F212" s="36">
        <f t="shared" si="31"/>
        <v>1638185</v>
      </c>
      <c r="G212" s="36">
        <f t="shared" si="31"/>
        <v>1065422</v>
      </c>
      <c r="H212" s="36">
        <f t="shared" si="31"/>
        <v>13889806</v>
      </c>
    </row>
    <row r="213" spans="1:8" s="3" customFormat="1" ht="12.75" customHeight="1">
      <c r="A213" s="114" t="s">
        <v>41</v>
      </c>
      <c r="B213" s="83">
        <v>91897</v>
      </c>
      <c r="C213" s="83">
        <v>497270</v>
      </c>
      <c r="D213" s="83">
        <v>2467</v>
      </c>
      <c r="E213" s="83">
        <v>84249</v>
      </c>
      <c r="F213" s="83">
        <v>81048</v>
      </c>
      <c r="G213" s="83">
        <v>48044</v>
      </c>
      <c r="H213" s="143">
        <f>SUM(B213:G213)</f>
        <v>804975</v>
      </c>
    </row>
    <row r="214" spans="1:8" s="3" customFormat="1" ht="12.75" customHeight="1">
      <c r="A214" s="113" t="s">
        <v>42</v>
      </c>
      <c r="B214" s="85">
        <v>82062</v>
      </c>
      <c r="C214" s="85">
        <v>749736</v>
      </c>
      <c r="D214" s="85">
        <v>6413</v>
      </c>
      <c r="E214" s="85">
        <v>55244</v>
      </c>
      <c r="F214" s="85">
        <v>137814</v>
      </c>
      <c r="G214" s="85">
        <v>65619</v>
      </c>
      <c r="H214" s="144">
        <f aca="true" t="shared" si="32" ref="H214:H224">SUM(B214:G214)</f>
        <v>1096888</v>
      </c>
    </row>
    <row r="215" spans="1:8" s="3" customFormat="1" ht="12.75" customHeight="1">
      <c r="A215" s="113" t="s">
        <v>4</v>
      </c>
      <c r="B215" s="85">
        <v>103862</v>
      </c>
      <c r="C215" s="85">
        <v>769004</v>
      </c>
      <c r="D215" s="85">
        <v>10295</v>
      </c>
      <c r="E215" s="85">
        <v>112504</v>
      </c>
      <c r="F215" s="85">
        <v>102508</v>
      </c>
      <c r="G215" s="85">
        <v>71735</v>
      </c>
      <c r="H215" s="144">
        <f t="shared" si="32"/>
        <v>1169908</v>
      </c>
    </row>
    <row r="216" spans="1:8" s="3" customFormat="1" ht="12.75" customHeight="1">
      <c r="A216" s="113" t="s">
        <v>5</v>
      </c>
      <c r="B216" s="85">
        <v>92329</v>
      </c>
      <c r="C216" s="85">
        <v>538048</v>
      </c>
      <c r="D216" s="85">
        <v>13281</v>
      </c>
      <c r="E216" s="85">
        <v>124279</v>
      </c>
      <c r="F216" s="85">
        <v>135951</v>
      </c>
      <c r="G216" s="85">
        <v>66678</v>
      </c>
      <c r="H216" s="144">
        <f t="shared" si="32"/>
        <v>970566</v>
      </c>
    </row>
    <row r="217" spans="1:8" s="3" customFormat="1" ht="12.75" customHeight="1">
      <c r="A217" s="113" t="s">
        <v>6</v>
      </c>
      <c r="B217" s="85">
        <v>97558</v>
      </c>
      <c r="C217" s="85">
        <v>704374</v>
      </c>
      <c r="D217" s="85">
        <v>12592</v>
      </c>
      <c r="E217" s="85">
        <v>144615</v>
      </c>
      <c r="F217" s="85">
        <v>148564</v>
      </c>
      <c r="G217" s="85">
        <v>108242</v>
      </c>
      <c r="H217" s="144">
        <f t="shared" si="32"/>
        <v>1215945</v>
      </c>
    </row>
    <row r="218" spans="1:8" s="3" customFormat="1" ht="12.75" customHeight="1">
      <c r="A218" s="113" t="s">
        <v>7</v>
      </c>
      <c r="B218" s="85">
        <v>148177</v>
      </c>
      <c r="C218" s="85">
        <v>662925</v>
      </c>
      <c r="D218" s="85">
        <v>11921</v>
      </c>
      <c r="E218" s="85">
        <v>114571</v>
      </c>
      <c r="F218" s="85">
        <v>139508</v>
      </c>
      <c r="G218" s="85">
        <v>49890</v>
      </c>
      <c r="H218" s="144">
        <f t="shared" si="32"/>
        <v>1126992</v>
      </c>
    </row>
    <row r="219" spans="1:8" s="3" customFormat="1" ht="12.75" customHeight="1">
      <c r="A219" s="113" t="s">
        <v>8</v>
      </c>
      <c r="B219" s="85">
        <v>68976</v>
      </c>
      <c r="C219" s="85">
        <v>523930</v>
      </c>
      <c r="D219" s="85">
        <v>13427</v>
      </c>
      <c r="E219" s="85">
        <v>138491</v>
      </c>
      <c r="F219" s="85">
        <v>110432</v>
      </c>
      <c r="G219" s="85">
        <v>79650</v>
      </c>
      <c r="H219" s="144">
        <f t="shared" si="32"/>
        <v>934906</v>
      </c>
    </row>
    <row r="220" spans="1:8" s="3" customFormat="1" ht="12.75" customHeight="1">
      <c r="A220" s="113" t="s">
        <v>43</v>
      </c>
      <c r="B220" s="85">
        <v>48122</v>
      </c>
      <c r="C220" s="85">
        <v>445215</v>
      </c>
      <c r="D220" s="85">
        <v>10817</v>
      </c>
      <c r="E220" s="85">
        <v>84334</v>
      </c>
      <c r="F220" s="85">
        <v>106201</v>
      </c>
      <c r="G220" s="85">
        <v>68515</v>
      </c>
      <c r="H220" s="144">
        <f t="shared" si="32"/>
        <v>763204</v>
      </c>
    </row>
    <row r="221" spans="1:8" s="3" customFormat="1" ht="12.75" customHeight="1">
      <c r="A221" s="113" t="s">
        <v>44</v>
      </c>
      <c r="B221" s="85">
        <v>62443</v>
      </c>
      <c r="C221" s="85">
        <v>506329</v>
      </c>
      <c r="D221" s="85">
        <v>13540</v>
      </c>
      <c r="E221" s="85">
        <v>147741</v>
      </c>
      <c r="F221" s="85">
        <v>133346</v>
      </c>
      <c r="G221" s="85">
        <v>98319</v>
      </c>
      <c r="H221" s="144">
        <f t="shared" si="32"/>
        <v>961718</v>
      </c>
    </row>
    <row r="222" spans="1:8" s="3" customFormat="1" ht="12.75" customHeight="1">
      <c r="A222" s="113" t="s">
        <v>45</v>
      </c>
      <c r="B222" s="85">
        <v>140046</v>
      </c>
      <c r="C222" s="85">
        <v>495560</v>
      </c>
      <c r="D222" s="85">
        <v>11951</v>
      </c>
      <c r="E222" s="85">
        <v>114996</v>
      </c>
      <c r="F222" s="85">
        <v>146235</v>
      </c>
      <c r="G222" s="85">
        <v>98045</v>
      </c>
      <c r="H222" s="144">
        <f t="shared" si="32"/>
        <v>1006833</v>
      </c>
    </row>
    <row r="223" spans="1:8" s="3" customFormat="1" ht="12.75" customHeight="1">
      <c r="A223" s="113" t="s">
        <v>46</v>
      </c>
      <c r="B223" s="85">
        <v>64774</v>
      </c>
      <c r="C223" s="85">
        <v>498866</v>
      </c>
      <c r="D223" s="85">
        <v>31826</v>
      </c>
      <c r="E223" s="85">
        <v>70485</v>
      </c>
      <c r="F223" s="85">
        <v>128024</v>
      </c>
      <c r="G223" s="85">
        <v>80006</v>
      </c>
      <c r="H223" s="144">
        <f t="shared" si="32"/>
        <v>873981</v>
      </c>
    </row>
    <row r="224" spans="1:8" s="3" customFormat="1" ht="12.75" customHeight="1" thickBot="1">
      <c r="A224" s="122" t="s">
        <v>47</v>
      </c>
      <c r="B224" s="141">
        <v>95470</v>
      </c>
      <c r="C224" s="141">
        <v>905205</v>
      </c>
      <c r="D224" s="141">
        <v>16258</v>
      </c>
      <c r="E224" s="141">
        <v>138539</v>
      </c>
      <c r="F224" s="141">
        <v>189046</v>
      </c>
      <c r="G224" s="141">
        <v>91302</v>
      </c>
      <c r="H224" s="145">
        <f t="shared" si="32"/>
        <v>1435820</v>
      </c>
    </row>
    <row r="225" spans="1:8" s="3" customFormat="1" ht="12.75" customHeight="1" thickBot="1">
      <c r="A225" s="29" t="s">
        <v>159</v>
      </c>
      <c r="B225" s="36">
        <f>SUM(B213:B224)</f>
        <v>1095716</v>
      </c>
      <c r="C225" s="36">
        <f aca="true" t="shared" si="33" ref="C225:H225">SUM(C213:C224)</f>
        <v>7296462</v>
      </c>
      <c r="D225" s="36">
        <f t="shared" si="33"/>
        <v>154788</v>
      </c>
      <c r="E225" s="36">
        <f t="shared" si="33"/>
        <v>1330048</v>
      </c>
      <c r="F225" s="36">
        <f t="shared" si="33"/>
        <v>1558677</v>
      </c>
      <c r="G225" s="36">
        <f t="shared" si="33"/>
        <v>926045</v>
      </c>
      <c r="H225" s="36">
        <f t="shared" si="33"/>
        <v>12361736</v>
      </c>
    </row>
    <row r="226" spans="1:8" s="3" customFormat="1" ht="12.75" customHeight="1">
      <c r="A226" s="114" t="s">
        <v>41</v>
      </c>
      <c r="B226" s="143">
        <f>B18+B31+B44+B57+B70+B83+B96+B109+B122+B135+B148+B161+B174+B187+B200+B213</f>
        <v>846609</v>
      </c>
      <c r="C226" s="143">
        <f aca="true" t="shared" si="34" ref="C226:H226">C18+C31+C44+C57+C70+C83+C96+C109+C122+C135+C148+C161+C174+C187+C200+C213</f>
        <v>3828927</v>
      </c>
      <c r="D226" s="143">
        <f t="shared" si="34"/>
        <v>166731</v>
      </c>
      <c r="E226" s="143">
        <f t="shared" si="34"/>
        <v>526005</v>
      </c>
      <c r="F226" s="143">
        <f t="shared" si="34"/>
        <v>861027</v>
      </c>
      <c r="G226" s="143">
        <f t="shared" si="34"/>
        <v>398708</v>
      </c>
      <c r="H226" s="143">
        <f t="shared" si="34"/>
        <v>6628007</v>
      </c>
    </row>
    <row r="227" spans="1:8" s="3" customFormat="1" ht="12.75" customHeight="1">
      <c r="A227" s="113" t="s">
        <v>42</v>
      </c>
      <c r="B227" s="144">
        <f aca="true" t="shared" si="35" ref="B227:H237">B19+B32+B45+B58+B71+B84+B97+B110+B123+B136+B149+B162+B175+B188+B201+B214</f>
        <v>1291295</v>
      </c>
      <c r="C227" s="144">
        <f t="shared" si="35"/>
        <v>5721451</v>
      </c>
      <c r="D227" s="144">
        <f t="shared" si="35"/>
        <v>347249</v>
      </c>
      <c r="E227" s="144">
        <f t="shared" si="35"/>
        <v>719190</v>
      </c>
      <c r="F227" s="144">
        <f t="shared" si="35"/>
        <v>1210192</v>
      </c>
      <c r="G227" s="144">
        <f t="shared" si="35"/>
        <v>571852</v>
      </c>
      <c r="H227" s="144">
        <f t="shared" si="35"/>
        <v>9861229</v>
      </c>
    </row>
    <row r="228" spans="1:8" s="3" customFormat="1" ht="12.75" customHeight="1">
      <c r="A228" s="113" t="s">
        <v>4</v>
      </c>
      <c r="B228" s="144">
        <f t="shared" si="35"/>
        <v>1458316</v>
      </c>
      <c r="C228" s="144">
        <f t="shared" si="35"/>
        <v>7464347</v>
      </c>
      <c r="D228" s="144">
        <f t="shared" si="35"/>
        <v>208611</v>
      </c>
      <c r="E228" s="144">
        <f t="shared" si="35"/>
        <v>1115234</v>
      </c>
      <c r="F228" s="144">
        <f t="shared" si="35"/>
        <v>1487567</v>
      </c>
      <c r="G228" s="144">
        <f t="shared" si="35"/>
        <v>809526</v>
      </c>
      <c r="H228" s="144">
        <f t="shared" si="35"/>
        <v>12543601</v>
      </c>
    </row>
    <row r="229" spans="1:8" s="3" customFormat="1" ht="12.75" customHeight="1">
      <c r="A229" s="113" t="s">
        <v>5</v>
      </c>
      <c r="B229" s="144">
        <f t="shared" si="35"/>
        <v>1199086</v>
      </c>
      <c r="C229" s="144">
        <f t="shared" si="35"/>
        <v>6926393</v>
      </c>
      <c r="D229" s="144">
        <f t="shared" si="35"/>
        <v>222018</v>
      </c>
      <c r="E229" s="144">
        <f t="shared" si="35"/>
        <v>1010141</v>
      </c>
      <c r="F229" s="144">
        <f t="shared" si="35"/>
        <v>1458358</v>
      </c>
      <c r="G229" s="144">
        <f t="shared" si="35"/>
        <v>758204</v>
      </c>
      <c r="H229" s="144">
        <f t="shared" si="35"/>
        <v>11574200</v>
      </c>
    </row>
    <row r="230" spans="1:8" s="3" customFormat="1" ht="12.75" customHeight="1">
      <c r="A230" s="113" t="s">
        <v>6</v>
      </c>
      <c r="B230" s="144">
        <f t="shared" si="35"/>
        <v>1501725</v>
      </c>
      <c r="C230" s="144">
        <f t="shared" si="35"/>
        <v>8193807</v>
      </c>
      <c r="D230" s="144">
        <f t="shared" si="35"/>
        <v>203186</v>
      </c>
      <c r="E230" s="144">
        <f t="shared" si="35"/>
        <v>1183278</v>
      </c>
      <c r="F230" s="144">
        <f t="shared" si="35"/>
        <v>1636949</v>
      </c>
      <c r="G230" s="144">
        <f t="shared" si="35"/>
        <v>890199</v>
      </c>
      <c r="H230" s="144">
        <f t="shared" si="35"/>
        <v>13609144</v>
      </c>
    </row>
    <row r="231" spans="1:8" s="3" customFormat="1" ht="12.75" customHeight="1">
      <c r="A231" s="113" t="s">
        <v>7</v>
      </c>
      <c r="B231" s="144">
        <f t="shared" si="35"/>
        <v>1661113</v>
      </c>
      <c r="C231" s="144">
        <f t="shared" si="35"/>
        <v>8466202</v>
      </c>
      <c r="D231" s="144">
        <f t="shared" si="35"/>
        <v>334710</v>
      </c>
      <c r="E231" s="144">
        <f t="shared" si="35"/>
        <v>1263283</v>
      </c>
      <c r="F231" s="144">
        <f t="shared" si="35"/>
        <v>1700230</v>
      </c>
      <c r="G231" s="144">
        <f t="shared" si="35"/>
        <v>871108</v>
      </c>
      <c r="H231" s="144">
        <f t="shared" si="35"/>
        <v>14296646</v>
      </c>
    </row>
    <row r="232" spans="1:8" s="3" customFormat="1" ht="12.75" customHeight="1">
      <c r="A232" s="113" t="s">
        <v>8</v>
      </c>
      <c r="B232" s="144">
        <f t="shared" si="35"/>
        <v>1025310</v>
      </c>
      <c r="C232" s="144">
        <f t="shared" si="35"/>
        <v>6889574</v>
      </c>
      <c r="D232" s="144">
        <f t="shared" si="35"/>
        <v>165229</v>
      </c>
      <c r="E232" s="144">
        <f t="shared" si="35"/>
        <v>1181605</v>
      </c>
      <c r="F232" s="144">
        <f t="shared" si="35"/>
        <v>1382510</v>
      </c>
      <c r="G232" s="144">
        <f t="shared" si="35"/>
        <v>707032</v>
      </c>
      <c r="H232" s="144">
        <f t="shared" si="35"/>
        <v>11351260</v>
      </c>
    </row>
    <row r="233" spans="1:8" s="3" customFormat="1" ht="12.75" customHeight="1">
      <c r="A233" s="113" t="s">
        <v>43</v>
      </c>
      <c r="B233" s="144">
        <f t="shared" si="35"/>
        <v>1317152</v>
      </c>
      <c r="C233" s="144">
        <f t="shared" si="35"/>
        <v>6451583</v>
      </c>
      <c r="D233" s="144">
        <f t="shared" si="35"/>
        <v>154083</v>
      </c>
      <c r="E233" s="144">
        <f t="shared" si="35"/>
        <v>1165793</v>
      </c>
      <c r="F233" s="144">
        <f t="shared" si="35"/>
        <v>1517892</v>
      </c>
      <c r="G233" s="144">
        <f t="shared" si="35"/>
        <v>807430</v>
      </c>
      <c r="H233" s="144">
        <f t="shared" si="35"/>
        <v>11413933</v>
      </c>
    </row>
    <row r="234" spans="1:8" s="3" customFormat="1" ht="12.75" customHeight="1">
      <c r="A234" s="113" t="s">
        <v>44</v>
      </c>
      <c r="B234" s="144">
        <f t="shared" si="35"/>
        <v>1957701</v>
      </c>
      <c r="C234" s="144">
        <f t="shared" si="35"/>
        <v>6827535</v>
      </c>
      <c r="D234" s="144">
        <f t="shared" si="35"/>
        <v>208303</v>
      </c>
      <c r="E234" s="144">
        <f t="shared" si="35"/>
        <v>1172254</v>
      </c>
      <c r="F234" s="144">
        <f t="shared" si="35"/>
        <v>1637622</v>
      </c>
      <c r="G234" s="144">
        <f t="shared" si="35"/>
        <v>830378</v>
      </c>
      <c r="H234" s="144">
        <f t="shared" si="35"/>
        <v>12633793</v>
      </c>
    </row>
    <row r="235" spans="1:8" s="3" customFormat="1" ht="12.75" customHeight="1">
      <c r="A235" s="113" t="s">
        <v>45</v>
      </c>
      <c r="B235" s="144">
        <f t="shared" si="35"/>
        <v>1343624</v>
      </c>
      <c r="C235" s="144">
        <f t="shared" si="35"/>
        <v>6515054</v>
      </c>
      <c r="D235" s="144">
        <f t="shared" si="35"/>
        <v>254080</v>
      </c>
      <c r="E235" s="144">
        <f t="shared" si="35"/>
        <v>1154385</v>
      </c>
      <c r="F235" s="144">
        <f t="shared" si="35"/>
        <v>1645067</v>
      </c>
      <c r="G235" s="144">
        <f t="shared" si="35"/>
        <v>935581</v>
      </c>
      <c r="H235" s="144">
        <f t="shared" si="35"/>
        <v>11847791</v>
      </c>
    </row>
    <row r="236" spans="1:8" s="3" customFormat="1" ht="12.75" customHeight="1">
      <c r="A236" s="113" t="s">
        <v>46</v>
      </c>
      <c r="B236" s="144">
        <f t="shared" si="35"/>
        <v>1282225</v>
      </c>
      <c r="C236" s="144">
        <f t="shared" si="35"/>
        <v>6178449</v>
      </c>
      <c r="D236" s="144">
        <f t="shared" si="35"/>
        <v>171986</v>
      </c>
      <c r="E236" s="144">
        <f t="shared" si="35"/>
        <v>831063</v>
      </c>
      <c r="F236" s="144">
        <f t="shared" si="35"/>
        <v>1387300</v>
      </c>
      <c r="G236" s="144">
        <f t="shared" si="35"/>
        <v>726655</v>
      </c>
      <c r="H236" s="144">
        <f t="shared" si="35"/>
        <v>10577678</v>
      </c>
    </row>
    <row r="237" spans="1:8" s="3" customFormat="1" ht="12.75" customHeight="1" thickBot="1">
      <c r="A237" s="122" t="s">
        <v>47</v>
      </c>
      <c r="B237" s="145">
        <f t="shared" si="35"/>
        <v>2708391</v>
      </c>
      <c r="C237" s="145">
        <f t="shared" si="35"/>
        <v>13476179</v>
      </c>
      <c r="D237" s="145">
        <f t="shared" si="35"/>
        <v>427467</v>
      </c>
      <c r="E237" s="145">
        <f t="shared" si="35"/>
        <v>1586867</v>
      </c>
      <c r="F237" s="145">
        <f t="shared" si="35"/>
        <v>2371691</v>
      </c>
      <c r="G237" s="145">
        <f t="shared" si="35"/>
        <v>1152476</v>
      </c>
      <c r="H237" s="145">
        <f t="shared" si="35"/>
        <v>21723071</v>
      </c>
    </row>
    <row r="238" spans="1:8" s="3" customFormat="1" ht="12.75" customHeight="1" thickBot="1">
      <c r="A238" s="29" t="s">
        <v>161</v>
      </c>
      <c r="B238" s="36">
        <f>SUM(B226:B237)</f>
        <v>17592547</v>
      </c>
      <c r="C238" s="36">
        <f aca="true" t="shared" si="36" ref="C238:H238">SUM(C226:C237)</f>
        <v>86939501</v>
      </c>
      <c r="D238" s="36">
        <f t="shared" si="36"/>
        <v>2863653</v>
      </c>
      <c r="E238" s="36">
        <f t="shared" si="36"/>
        <v>12909098</v>
      </c>
      <c r="F238" s="36">
        <f t="shared" si="36"/>
        <v>18296405</v>
      </c>
      <c r="G238" s="36">
        <f t="shared" si="36"/>
        <v>9459149</v>
      </c>
      <c r="H238" s="36">
        <f t="shared" si="36"/>
        <v>148060353</v>
      </c>
    </row>
    <row r="239" spans="1:6" s="3" customFormat="1" ht="12.75">
      <c r="A239" s="130" t="s">
        <v>63</v>
      </c>
      <c r="F239" s="130" t="s">
        <v>16</v>
      </c>
    </row>
  </sheetData>
  <sheetProtection/>
  <mergeCells count="1">
    <mergeCell ref="B3:H3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H23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140625" style="129" customWidth="1"/>
    <col min="2" max="8" width="12.421875" style="2" customWidth="1"/>
    <col min="9" max="10" width="9.140625" style="2" customWidth="1"/>
    <col min="11" max="12" width="9.140625" style="56" customWidth="1"/>
    <col min="13" max="16384" width="9.140625" style="2" customWidth="1"/>
  </cols>
  <sheetData>
    <row r="1" spans="1:8" s="3" customFormat="1" ht="19.5" customHeight="1">
      <c r="A1" s="4" t="s">
        <v>162</v>
      </c>
      <c r="B1" s="4"/>
      <c r="C1" s="4"/>
      <c r="D1" s="4"/>
      <c r="E1" s="4"/>
      <c r="F1" s="4"/>
      <c r="G1" s="4"/>
      <c r="H1" s="4"/>
    </row>
    <row r="2" spans="1:2" s="3" customFormat="1" ht="6.75" customHeight="1" thickBot="1">
      <c r="A2" s="12"/>
      <c r="B2" s="16"/>
    </row>
    <row r="3" spans="1:8" s="3" customFormat="1" ht="13.5" customHeight="1" thickBot="1">
      <c r="A3" s="12"/>
      <c r="B3" s="253" t="s">
        <v>39</v>
      </c>
      <c r="C3" s="253"/>
      <c r="D3" s="253"/>
      <c r="E3" s="253"/>
      <c r="F3" s="253"/>
      <c r="G3" s="253"/>
      <c r="H3" s="253"/>
    </row>
    <row r="4" spans="1:8" s="3" customFormat="1" ht="21.75" thickBot="1">
      <c r="A4" s="130"/>
      <c r="B4" s="131" t="s">
        <v>17</v>
      </c>
      <c r="C4" s="131" t="s">
        <v>26</v>
      </c>
      <c r="D4" s="131" t="s">
        <v>18</v>
      </c>
      <c r="E4" s="131" t="s">
        <v>20</v>
      </c>
      <c r="F4" s="131" t="s">
        <v>21</v>
      </c>
      <c r="G4" s="131" t="s">
        <v>40</v>
      </c>
      <c r="H4" s="131" t="s">
        <v>0</v>
      </c>
    </row>
    <row r="5" spans="1:8" s="3" customFormat="1" ht="12.75" customHeight="1">
      <c r="A5" s="114" t="s">
        <v>41</v>
      </c>
      <c r="B5" s="45">
        <v>211</v>
      </c>
      <c r="C5" s="45">
        <v>720</v>
      </c>
      <c r="D5" s="45">
        <v>19</v>
      </c>
      <c r="E5" s="45">
        <v>112</v>
      </c>
      <c r="F5" s="45">
        <v>132</v>
      </c>
      <c r="G5" s="132">
        <v>104</v>
      </c>
      <c r="H5" s="133">
        <f aca="true" t="shared" si="0" ref="H5:H16">SUM(B5:G5)</f>
        <v>1298</v>
      </c>
    </row>
    <row r="6" spans="1:8" s="3" customFormat="1" ht="12.75" customHeight="1">
      <c r="A6" s="113" t="s">
        <v>42</v>
      </c>
      <c r="B6" s="40">
        <v>204</v>
      </c>
      <c r="C6" s="40">
        <v>1013</v>
      </c>
      <c r="D6" s="40">
        <v>17</v>
      </c>
      <c r="E6" s="40">
        <v>182</v>
      </c>
      <c r="F6" s="40">
        <v>172</v>
      </c>
      <c r="G6" s="134">
        <v>125</v>
      </c>
      <c r="H6" s="135">
        <f t="shared" si="0"/>
        <v>1713</v>
      </c>
    </row>
    <row r="7" spans="1:8" s="3" customFormat="1" ht="12.75" customHeight="1">
      <c r="A7" s="113" t="s">
        <v>4</v>
      </c>
      <c r="B7" s="40">
        <v>72</v>
      </c>
      <c r="C7" s="40">
        <v>1249</v>
      </c>
      <c r="D7" s="40">
        <v>19</v>
      </c>
      <c r="E7" s="40">
        <v>283</v>
      </c>
      <c r="F7" s="40">
        <v>191</v>
      </c>
      <c r="G7" s="134">
        <v>97</v>
      </c>
      <c r="H7" s="135">
        <f t="shared" si="0"/>
        <v>1911</v>
      </c>
    </row>
    <row r="8" spans="1:8" s="3" customFormat="1" ht="12.75" customHeight="1">
      <c r="A8" s="113" t="s">
        <v>5</v>
      </c>
      <c r="B8" s="40">
        <v>45</v>
      </c>
      <c r="C8" s="40">
        <v>652</v>
      </c>
      <c r="D8" s="40">
        <v>13</v>
      </c>
      <c r="E8" s="40">
        <v>135</v>
      </c>
      <c r="F8" s="40">
        <v>93</v>
      </c>
      <c r="G8" s="134">
        <v>47</v>
      </c>
      <c r="H8" s="135">
        <f t="shared" si="0"/>
        <v>985</v>
      </c>
    </row>
    <row r="9" spans="1:8" s="3" customFormat="1" ht="12.75" customHeight="1">
      <c r="A9" s="113" t="s">
        <v>6</v>
      </c>
      <c r="B9" s="40">
        <v>49</v>
      </c>
      <c r="C9" s="40">
        <v>985</v>
      </c>
      <c r="D9" s="40">
        <v>17</v>
      </c>
      <c r="E9" s="40">
        <v>178</v>
      </c>
      <c r="F9" s="40">
        <v>172</v>
      </c>
      <c r="G9" s="134">
        <v>69</v>
      </c>
      <c r="H9" s="135">
        <f t="shared" si="0"/>
        <v>1470</v>
      </c>
    </row>
    <row r="10" spans="1:8" s="3" customFormat="1" ht="12.75" customHeight="1">
      <c r="A10" s="113" t="s">
        <v>7</v>
      </c>
      <c r="B10" s="40">
        <v>61</v>
      </c>
      <c r="C10" s="40">
        <v>834</v>
      </c>
      <c r="D10" s="40">
        <v>17</v>
      </c>
      <c r="E10" s="40">
        <v>152</v>
      </c>
      <c r="F10" s="40">
        <v>189</v>
      </c>
      <c r="G10" s="134">
        <v>80</v>
      </c>
      <c r="H10" s="135">
        <f t="shared" si="0"/>
        <v>1333</v>
      </c>
    </row>
    <row r="11" spans="1:8" s="3" customFormat="1" ht="12.75" customHeight="1">
      <c r="A11" s="113" t="s">
        <v>8</v>
      </c>
      <c r="B11" s="40">
        <v>49</v>
      </c>
      <c r="C11" s="40">
        <v>906</v>
      </c>
      <c r="D11" s="40">
        <v>18</v>
      </c>
      <c r="E11" s="40">
        <v>181</v>
      </c>
      <c r="F11" s="40">
        <v>202</v>
      </c>
      <c r="G11" s="134">
        <v>107</v>
      </c>
      <c r="H11" s="135">
        <f t="shared" si="0"/>
        <v>1463</v>
      </c>
    </row>
    <row r="12" spans="1:8" s="3" customFormat="1" ht="12.75" customHeight="1">
      <c r="A12" s="113" t="s">
        <v>43</v>
      </c>
      <c r="B12" s="40">
        <v>64</v>
      </c>
      <c r="C12" s="40">
        <v>856</v>
      </c>
      <c r="D12" s="40">
        <v>12</v>
      </c>
      <c r="E12" s="40">
        <v>217</v>
      </c>
      <c r="F12" s="40">
        <v>209</v>
      </c>
      <c r="G12" s="134">
        <v>107</v>
      </c>
      <c r="H12" s="135">
        <f t="shared" si="0"/>
        <v>1465</v>
      </c>
    </row>
    <row r="13" spans="1:8" s="3" customFormat="1" ht="12.75" customHeight="1">
      <c r="A13" s="113" t="s">
        <v>44</v>
      </c>
      <c r="B13" s="40">
        <v>48</v>
      </c>
      <c r="C13" s="40">
        <v>856</v>
      </c>
      <c r="D13" s="40">
        <v>15</v>
      </c>
      <c r="E13" s="40">
        <v>195</v>
      </c>
      <c r="F13" s="40">
        <v>161</v>
      </c>
      <c r="G13" s="134">
        <v>110</v>
      </c>
      <c r="H13" s="135">
        <f t="shared" si="0"/>
        <v>1385</v>
      </c>
    </row>
    <row r="14" spans="1:8" s="3" customFormat="1" ht="12.75" customHeight="1">
      <c r="A14" s="113" t="s">
        <v>45</v>
      </c>
      <c r="B14" s="40">
        <v>50</v>
      </c>
      <c r="C14" s="40">
        <v>914</v>
      </c>
      <c r="D14" s="40">
        <v>20</v>
      </c>
      <c r="E14" s="40">
        <v>149</v>
      </c>
      <c r="F14" s="40">
        <v>241</v>
      </c>
      <c r="G14" s="134">
        <v>111</v>
      </c>
      <c r="H14" s="135">
        <f t="shared" si="0"/>
        <v>1485</v>
      </c>
    </row>
    <row r="15" spans="1:8" s="3" customFormat="1" ht="12.75" customHeight="1">
      <c r="A15" s="113" t="s">
        <v>46</v>
      </c>
      <c r="B15" s="40">
        <v>40</v>
      </c>
      <c r="C15" s="40">
        <v>606</v>
      </c>
      <c r="D15" s="40">
        <v>16</v>
      </c>
      <c r="E15" s="40">
        <v>108</v>
      </c>
      <c r="F15" s="40">
        <v>169</v>
      </c>
      <c r="G15" s="134">
        <v>95</v>
      </c>
      <c r="H15" s="135">
        <f t="shared" si="0"/>
        <v>1034</v>
      </c>
    </row>
    <row r="16" spans="1:8" s="3" customFormat="1" ht="12.75" customHeight="1" thickBot="1">
      <c r="A16" s="122" t="s">
        <v>47</v>
      </c>
      <c r="B16" s="136">
        <v>74</v>
      </c>
      <c r="C16" s="136">
        <v>1156</v>
      </c>
      <c r="D16" s="136">
        <v>26</v>
      </c>
      <c r="E16" s="136">
        <v>188</v>
      </c>
      <c r="F16" s="136">
        <v>294</v>
      </c>
      <c r="G16" s="137">
        <v>153</v>
      </c>
      <c r="H16" s="138">
        <f t="shared" si="0"/>
        <v>1891</v>
      </c>
    </row>
    <row r="17" spans="1:8" s="3" customFormat="1" ht="12.75" customHeight="1" thickBot="1">
      <c r="A17" s="29" t="s">
        <v>48</v>
      </c>
      <c r="B17" s="36">
        <f aca="true" t="shared" si="1" ref="B17:H17">SUM(B5:B16)</f>
        <v>967</v>
      </c>
      <c r="C17" s="36">
        <f t="shared" si="1"/>
        <v>10747</v>
      </c>
      <c r="D17" s="36">
        <f t="shared" si="1"/>
        <v>209</v>
      </c>
      <c r="E17" s="36">
        <f t="shared" si="1"/>
        <v>2080</v>
      </c>
      <c r="F17" s="36">
        <f t="shared" si="1"/>
        <v>2225</v>
      </c>
      <c r="G17" s="36">
        <f t="shared" si="1"/>
        <v>1205</v>
      </c>
      <c r="H17" s="36">
        <f t="shared" si="1"/>
        <v>17433</v>
      </c>
    </row>
    <row r="18" spans="1:8" s="3" customFormat="1" ht="12.75" customHeight="1">
      <c r="A18" s="114" t="s">
        <v>41</v>
      </c>
      <c r="B18" s="45">
        <v>25</v>
      </c>
      <c r="C18" s="45">
        <v>533</v>
      </c>
      <c r="D18" s="45">
        <v>15</v>
      </c>
      <c r="E18" s="45">
        <v>139</v>
      </c>
      <c r="F18" s="45">
        <v>155</v>
      </c>
      <c r="G18" s="132">
        <v>81</v>
      </c>
      <c r="H18" s="133">
        <f aca="true" t="shared" si="2" ref="H18:H29">SUM(B18:G18)</f>
        <v>948</v>
      </c>
    </row>
    <row r="19" spans="1:8" s="3" customFormat="1" ht="12.75" customHeight="1">
      <c r="A19" s="113" t="s">
        <v>42</v>
      </c>
      <c r="B19" s="40">
        <v>36</v>
      </c>
      <c r="C19" s="40">
        <v>548</v>
      </c>
      <c r="D19" s="40">
        <v>12</v>
      </c>
      <c r="E19" s="40">
        <v>118</v>
      </c>
      <c r="F19" s="40">
        <v>144</v>
      </c>
      <c r="G19" s="134">
        <v>91</v>
      </c>
      <c r="H19" s="135">
        <f t="shared" si="2"/>
        <v>949</v>
      </c>
    </row>
    <row r="20" spans="1:8" s="3" customFormat="1" ht="12.75" customHeight="1">
      <c r="A20" s="113" t="s">
        <v>4</v>
      </c>
      <c r="B20" s="40">
        <v>39</v>
      </c>
      <c r="C20" s="40">
        <v>645</v>
      </c>
      <c r="D20" s="40">
        <v>15</v>
      </c>
      <c r="E20" s="40">
        <v>200</v>
      </c>
      <c r="F20" s="40">
        <v>204</v>
      </c>
      <c r="G20" s="134">
        <v>107</v>
      </c>
      <c r="H20" s="135">
        <f t="shared" si="2"/>
        <v>1210</v>
      </c>
    </row>
    <row r="21" spans="1:8" s="3" customFormat="1" ht="12.75" customHeight="1">
      <c r="A21" s="113" t="s">
        <v>5</v>
      </c>
      <c r="B21" s="40">
        <v>43</v>
      </c>
      <c r="C21" s="40">
        <v>684</v>
      </c>
      <c r="D21" s="40">
        <v>12</v>
      </c>
      <c r="E21" s="40">
        <v>150</v>
      </c>
      <c r="F21" s="40">
        <v>213</v>
      </c>
      <c r="G21" s="134">
        <v>84</v>
      </c>
      <c r="H21" s="135">
        <f t="shared" si="2"/>
        <v>1186</v>
      </c>
    </row>
    <row r="22" spans="1:8" s="3" customFormat="1" ht="12.75" customHeight="1">
      <c r="A22" s="113" t="s">
        <v>6</v>
      </c>
      <c r="B22" s="40">
        <v>48</v>
      </c>
      <c r="C22" s="40">
        <v>731</v>
      </c>
      <c r="D22" s="40">
        <v>33</v>
      </c>
      <c r="E22" s="40">
        <v>210</v>
      </c>
      <c r="F22" s="40">
        <v>241</v>
      </c>
      <c r="G22" s="134">
        <v>101</v>
      </c>
      <c r="H22" s="135">
        <f t="shared" si="2"/>
        <v>1364</v>
      </c>
    </row>
    <row r="23" spans="1:8" s="3" customFormat="1" ht="12.75" customHeight="1">
      <c r="A23" s="113" t="s">
        <v>7</v>
      </c>
      <c r="B23" s="40">
        <v>63</v>
      </c>
      <c r="C23" s="40">
        <v>777</v>
      </c>
      <c r="D23" s="40">
        <v>19</v>
      </c>
      <c r="E23" s="40">
        <v>229</v>
      </c>
      <c r="F23" s="40">
        <v>195</v>
      </c>
      <c r="G23" s="134">
        <v>139</v>
      </c>
      <c r="H23" s="135">
        <f t="shared" si="2"/>
        <v>1422</v>
      </c>
    </row>
    <row r="24" spans="1:8" s="3" customFormat="1" ht="12.75" customHeight="1">
      <c r="A24" s="113" t="s">
        <v>8</v>
      </c>
      <c r="B24" s="40">
        <v>52</v>
      </c>
      <c r="C24" s="40">
        <v>780</v>
      </c>
      <c r="D24" s="40">
        <v>34</v>
      </c>
      <c r="E24" s="40">
        <v>208</v>
      </c>
      <c r="F24" s="40">
        <v>246</v>
      </c>
      <c r="G24" s="134">
        <v>174</v>
      </c>
      <c r="H24" s="135">
        <f t="shared" si="2"/>
        <v>1494</v>
      </c>
    </row>
    <row r="25" spans="1:8" s="3" customFormat="1" ht="12.75" customHeight="1">
      <c r="A25" s="113" t="s">
        <v>43</v>
      </c>
      <c r="B25" s="40">
        <v>39</v>
      </c>
      <c r="C25" s="40">
        <v>710</v>
      </c>
      <c r="D25" s="40">
        <v>29</v>
      </c>
      <c r="E25" s="40">
        <v>228</v>
      </c>
      <c r="F25" s="40">
        <v>245</v>
      </c>
      <c r="G25" s="134">
        <v>118</v>
      </c>
      <c r="H25" s="135">
        <f t="shared" si="2"/>
        <v>1369</v>
      </c>
    </row>
    <row r="26" spans="1:8" s="3" customFormat="1" ht="12.75" customHeight="1">
      <c r="A26" s="113" t="s">
        <v>44</v>
      </c>
      <c r="B26" s="40">
        <v>43</v>
      </c>
      <c r="C26" s="40">
        <v>749</v>
      </c>
      <c r="D26" s="40">
        <v>29</v>
      </c>
      <c r="E26" s="40">
        <v>250</v>
      </c>
      <c r="F26" s="40">
        <v>258</v>
      </c>
      <c r="G26" s="134">
        <v>139</v>
      </c>
      <c r="H26" s="135">
        <f t="shared" si="2"/>
        <v>1468</v>
      </c>
    </row>
    <row r="27" spans="1:8" s="3" customFormat="1" ht="12.75" customHeight="1">
      <c r="A27" s="113" t="s">
        <v>45</v>
      </c>
      <c r="B27" s="40">
        <v>44</v>
      </c>
      <c r="C27" s="40">
        <v>687</v>
      </c>
      <c r="D27" s="40">
        <v>27</v>
      </c>
      <c r="E27" s="40">
        <v>187</v>
      </c>
      <c r="F27" s="40">
        <v>233</v>
      </c>
      <c r="G27" s="134">
        <v>136</v>
      </c>
      <c r="H27" s="135">
        <f t="shared" si="2"/>
        <v>1314</v>
      </c>
    </row>
    <row r="28" spans="1:8" s="3" customFormat="1" ht="12.75" customHeight="1">
      <c r="A28" s="113" t="s">
        <v>46</v>
      </c>
      <c r="B28" s="40">
        <v>42</v>
      </c>
      <c r="C28" s="40">
        <v>644</v>
      </c>
      <c r="D28" s="40">
        <v>24</v>
      </c>
      <c r="E28" s="40">
        <v>130</v>
      </c>
      <c r="F28" s="40">
        <v>168</v>
      </c>
      <c r="G28" s="134">
        <v>122</v>
      </c>
      <c r="H28" s="135">
        <f t="shared" si="2"/>
        <v>1130</v>
      </c>
    </row>
    <row r="29" spans="1:8" s="3" customFormat="1" ht="12.75" customHeight="1" thickBot="1">
      <c r="A29" s="122" t="s">
        <v>47</v>
      </c>
      <c r="B29" s="136">
        <v>54</v>
      </c>
      <c r="C29" s="136">
        <v>909</v>
      </c>
      <c r="D29" s="136">
        <v>22</v>
      </c>
      <c r="E29" s="136">
        <v>164</v>
      </c>
      <c r="F29" s="136">
        <v>322</v>
      </c>
      <c r="G29" s="137">
        <v>138</v>
      </c>
      <c r="H29" s="138">
        <f t="shared" si="2"/>
        <v>1609</v>
      </c>
    </row>
    <row r="30" spans="1:8" s="3" customFormat="1" ht="12.75" customHeight="1" thickBot="1">
      <c r="A30" s="29" t="s">
        <v>49</v>
      </c>
      <c r="B30" s="36">
        <f>SUM(B18:B29)</f>
        <v>528</v>
      </c>
      <c r="C30" s="36">
        <f aca="true" t="shared" si="3" ref="C30:H30">SUM(C18:C29)</f>
        <v>8397</v>
      </c>
      <c r="D30" s="36">
        <f t="shared" si="3"/>
        <v>271</v>
      </c>
      <c r="E30" s="36">
        <f>SUM(E18:E29)</f>
        <v>2213</v>
      </c>
      <c r="F30" s="36">
        <f t="shared" si="3"/>
        <v>2624</v>
      </c>
      <c r="G30" s="36">
        <f t="shared" si="3"/>
        <v>1430</v>
      </c>
      <c r="H30" s="36">
        <f t="shared" si="3"/>
        <v>15463</v>
      </c>
    </row>
    <row r="31" spans="1:8" s="3" customFormat="1" ht="12.75" customHeight="1">
      <c r="A31" s="114" t="s">
        <v>41</v>
      </c>
      <c r="B31" s="45">
        <v>31</v>
      </c>
      <c r="C31" s="45">
        <v>370</v>
      </c>
      <c r="D31" s="45">
        <v>21</v>
      </c>
      <c r="E31" s="45">
        <v>55</v>
      </c>
      <c r="F31" s="45">
        <v>116</v>
      </c>
      <c r="G31" s="132">
        <v>54</v>
      </c>
      <c r="H31" s="133">
        <f aca="true" t="shared" si="4" ref="H31:H42">SUM(B31:G31)</f>
        <v>647</v>
      </c>
    </row>
    <row r="32" spans="1:8" s="3" customFormat="1" ht="12.75" customHeight="1">
      <c r="A32" s="113" t="s">
        <v>42</v>
      </c>
      <c r="B32" s="40">
        <v>44</v>
      </c>
      <c r="C32" s="40">
        <v>536</v>
      </c>
      <c r="D32" s="40">
        <v>27</v>
      </c>
      <c r="E32" s="40">
        <v>106</v>
      </c>
      <c r="F32" s="40">
        <v>186</v>
      </c>
      <c r="G32" s="134">
        <v>70</v>
      </c>
      <c r="H32" s="135">
        <f t="shared" si="4"/>
        <v>969</v>
      </c>
    </row>
    <row r="33" spans="1:8" s="3" customFormat="1" ht="12.75" customHeight="1">
      <c r="A33" s="113" t="s">
        <v>4</v>
      </c>
      <c r="B33" s="40">
        <v>43</v>
      </c>
      <c r="C33" s="40">
        <v>599</v>
      </c>
      <c r="D33" s="40">
        <v>28</v>
      </c>
      <c r="E33" s="40">
        <v>202</v>
      </c>
      <c r="F33" s="40">
        <v>192</v>
      </c>
      <c r="G33" s="134">
        <v>119</v>
      </c>
      <c r="H33" s="135">
        <f t="shared" si="4"/>
        <v>1183</v>
      </c>
    </row>
    <row r="34" spans="1:8" s="3" customFormat="1" ht="12.75" customHeight="1">
      <c r="A34" s="113" t="s">
        <v>5</v>
      </c>
      <c r="B34" s="40">
        <v>32</v>
      </c>
      <c r="C34" s="40">
        <v>495</v>
      </c>
      <c r="D34" s="40">
        <v>25</v>
      </c>
      <c r="E34" s="40">
        <v>153</v>
      </c>
      <c r="F34" s="40">
        <v>149</v>
      </c>
      <c r="G34" s="134">
        <v>80</v>
      </c>
      <c r="H34" s="135">
        <f t="shared" si="4"/>
        <v>934</v>
      </c>
    </row>
    <row r="35" spans="1:8" s="3" customFormat="1" ht="12.75" customHeight="1">
      <c r="A35" s="113" t="s">
        <v>6</v>
      </c>
      <c r="B35" s="40">
        <v>43</v>
      </c>
      <c r="C35" s="40">
        <v>624</v>
      </c>
      <c r="D35" s="40">
        <v>27</v>
      </c>
      <c r="E35" s="40">
        <v>179</v>
      </c>
      <c r="F35" s="40">
        <v>198</v>
      </c>
      <c r="G35" s="134">
        <v>79</v>
      </c>
      <c r="H35" s="135">
        <f t="shared" si="4"/>
        <v>1150</v>
      </c>
    </row>
    <row r="36" spans="1:8" s="3" customFormat="1" ht="12.75" customHeight="1">
      <c r="A36" s="113" t="s">
        <v>7</v>
      </c>
      <c r="B36" s="40">
        <v>43</v>
      </c>
      <c r="C36" s="40">
        <v>562</v>
      </c>
      <c r="D36" s="40">
        <v>20</v>
      </c>
      <c r="E36" s="40">
        <v>171</v>
      </c>
      <c r="F36" s="40">
        <v>132</v>
      </c>
      <c r="G36" s="134">
        <v>71</v>
      </c>
      <c r="H36" s="135">
        <f t="shared" si="4"/>
        <v>999</v>
      </c>
    </row>
    <row r="37" spans="1:8" s="3" customFormat="1" ht="12.75" customHeight="1">
      <c r="A37" s="113" t="s">
        <v>8</v>
      </c>
      <c r="B37" s="40">
        <v>43</v>
      </c>
      <c r="C37" s="40">
        <v>587</v>
      </c>
      <c r="D37" s="40">
        <v>29</v>
      </c>
      <c r="E37" s="40">
        <v>257</v>
      </c>
      <c r="F37" s="40">
        <v>156</v>
      </c>
      <c r="G37" s="134">
        <v>82</v>
      </c>
      <c r="H37" s="135">
        <f t="shared" si="4"/>
        <v>1154</v>
      </c>
    </row>
    <row r="38" spans="1:8" s="3" customFormat="1" ht="12.75" customHeight="1">
      <c r="A38" s="113" t="s">
        <v>43</v>
      </c>
      <c r="B38" s="40">
        <v>23</v>
      </c>
      <c r="C38" s="40">
        <v>538</v>
      </c>
      <c r="D38" s="40">
        <v>11</v>
      </c>
      <c r="E38" s="40">
        <v>152</v>
      </c>
      <c r="F38" s="40">
        <v>201</v>
      </c>
      <c r="G38" s="134">
        <v>101</v>
      </c>
      <c r="H38" s="135">
        <f t="shared" si="4"/>
        <v>1026</v>
      </c>
    </row>
    <row r="39" spans="1:8" s="3" customFormat="1" ht="12.75" customHeight="1">
      <c r="A39" s="113" t="s">
        <v>44</v>
      </c>
      <c r="B39" s="40">
        <v>47</v>
      </c>
      <c r="C39" s="40">
        <v>615</v>
      </c>
      <c r="D39" s="40">
        <v>24</v>
      </c>
      <c r="E39" s="40">
        <v>169</v>
      </c>
      <c r="F39" s="40">
        <v>216</v>
      </c>
      <c r="G39" s="134">
        <v>100</v>
      </c>
      <c r="H39" s="135">
        <f t="shared" si="4"/>
        <v>1171</v>
      </c>
    </row>
    <row r="40" spans="1:8" s="3" customFormat="1" ht="12.75" customHeight="1">
      <c r="A40" s="113" t="s">
        <v>45</v>
      </c>
      <c r="B40" s="40">
        <v>42</v>
      </c>
      <c r="C40" s="40">
        <v>567</v>
      </c>
      <c r="D40" s="40">
        <v>27</v>
      </c>
      <c r="E40" s="40">
        <v>193</v>
      </c>
      <c r="F40" s="40">
        <v>183</v>
      </c>
      <c r="G40" s="134">
        <v>104</v>
      </c>
      <c r="H40" s="135">
        <f t="shared" si="4"/>
        <v>1116</v>
      </c>
    </row>
    <row r="41" spans="1:8" s="3" customFormat="1" ht="12.75" customHeight="1">
      <c r="A41" s="113" t="s">
        <v>46</v>
      </c>
      <c r="B41" s="40">
        <v>49</v>
      </c>
      <c r="C41" s="40">
        <v>566</v>
      </c>
      <c r="D41" s="40">
        <v>28</v>
      </c>
      <c r="E41" s="40">
        <v>152</v>
      </c>
      <c r="F41" s="40">
        <v>166</v>
      </c>
      <c r="G41" s="134">
        <v>94</v>
      </c>
      <c r="H41" s="135">
        <f t="shared" si="4"/>
        <v>1055</v>
      </c>
    </row>
    <row r="42" spans="1:8" s="3" customFormat="1" ht="12.75" customHeight="1" thickBot="1">
      <c r="A42" s="122" t="s">
        <v>47</v>
      </c>
      <c r="B42" s="136">
        <v>55</v>
      </c>
      <c r="C42" s="136">
        <v>750</v>
      </c>
      <c r="D42" s="136">
        <v>19</v>
      </c>
      <c r="E42" s="136">
        <v>201</v>
      </c>
      <c r="F42" s="136">
        <v>221</v>
      </c>
      <c r="G42" s="137">
        <v>125</v>
      </c>
      <c r="H42" s="138">
        <f t="shared" si="4"/>
        <v>1371</v>
      </c>
    </row>
    <row r="43" spans="1:8" s="3" customFormat="1" ht="12.75" customHeight="1" thickBot="1">
      <c r="A43" s="29" t="s">
        <v>50</v>
      </c>
      <c r="B43" s="36">
        <f>SUM(B31:B42)</f>
        <v>495</v>
      </c>
      <c r="C43" s="36">
        <f aca="true" t="shared" si="5" ref="C43:H43">SUM(C31:C42)</f>
        <v>6809</v>
      </c>
      <c r="D43" s="36">
        <f t="shared" si="5"/>
        <v>286</v>
      </c>
      <c r="E43" s="36">
        <f>SUM(E31:E42)</f>
        <v>1990</v>
      </c>
      <c r="F43" s="36">
        <f t="shared" si="5"/>
        <v>2116</v>
      </c>
      <c r="G43" s="36">
        <f t="shared" si="5"/>
        <v>1079</v>
      </c>
      <c r="H43" s="36">
        <f t="shared" si="5"/>
        <v>12775</v>
      </c>
    </row>
    <row r="44" spans="1:8" s="3" customFormat="1" ht="12.75" customHeight="1">
      <c r="A44" s="114" t="s">
        <v>41</v>
      </c>
      <c r="B44" s="45">
        <v>28</v>
      </c>
      <c r="C44" s="45">
        <v>305</v>
      </c>
      <c r="D44" s="45">
        <v>12</v>
      </c>
      <c r="E44" s="45">
        <v>55</v>
      </c>
      <c r="F44" s="45">
        <v>92</v>
      </c>
      <c r="G44" s="132">
        <v>47</v>
      </c>
      <c r="H44" s="133">
        <f aca="true" t="shared" si="6" ref="H44:H55">SUM(B44:G44)</f>
        <v>539</v>
      </c>
    </row>
    <row r="45" spans="1:8" s="3" customFormat="1" ht="12.75" customHeight="1">
      <c r="A45" s="113" t="s">
        <v>42</v>
      </c>
      <c r="B45" s="40">
        <v>29</v>
      </c>
      <c r="C45" s="40">
        <v>580</v>
      </c>
      <c r="D45" s="40">
        <v>30</v>
      </c>
      <c r="E45" s="40">
        <v>148</v>
      </c>
      <c r="F45" s="40">
        <v>198</v>
      </c>
      <c r="G45" s="134">
        <v>100</v>
      </c>
      <c r="H45" s="135">
        <f t="shared" si="6"/>
        <v>1085</v>
      </c>
    </row>
    <row r="46" spans="1:8" s="3" customFormat="1" ht="12.75" customHeight="1">
      <c r="A46" s="113" t="s">
        <v>4</v>
      </c>
      <c r="B46" s="40">
        <v>47</v>
      </c>
      <c r="C46" s="40">
        <v>485</v>
      </c>
      <c r="D46" s="40">
        <v>21</v>
      </c>
      <c r="E46" s="40">
        <v>157</v>
      </c>
      <c r="F46" s="40">
        <v>152</v>
      </c>
      <c r="G46" s="134">
        <v>90</v>
      </c>
      <c r="H46" s="135">
        <f t="shared" si="6"/>
        <v>952</v>
      </c>
    </row>
    <row r="47" spans="1:8" s="3" customFormat="1" ht="12.75" customHeight="1">
      <c r="A47" s="113" t="s">
        <v>5</v>
      </c>
      <c r="B47" s="40">
        <v>50</v>
      </c>
      <c r="C47" s="40">
        <v>573</v>
      </c>
      <c r="D47" s="40">
        <v>22</v>
      </c>
      <c r="E47" s="40">
        <v>224</v>
      </c>
      <c r="F47" s="40">
        <v>227</v>
      </c>
      <c r="G47" s="134">
        <v>128</v>
      </c>
      <c r="H47" s="135">
        <f t="shared" si="6"/>
        <v>1224</v>
      </c>
    </row>
    <row r="48" spans="1:8" s="3" customFormat="1" ht="12.75" customHeight="1">
      <c r="A48" s="113" t="s">
        <v>6</v>
      </c>
      <c r="B48" s="40">
        <v>45</v>
      </c>
      <c r="C48" s="40">
        <v>620</v>
      </c>
      <c r="D48" s="40">
        <v>24</v>
      </c>
      <c r="E48" s="40">
        <v>221</v>
      </c>
      <c r="F48" s="40">
        <v>195</v>
      </c>
      <c r="G48" s="134">
        <v>115</v>
      </c>
      <c r="H48" s="135">
        <f t="shared" si="6"/>
        <v>1220</v>
      </c>
    </row>
    <row r="49" spans="1:8" s="3" customFormat="1" ht="12.75" customHeight="1">
      <c r="A49" s="113" t="s">
        <v>7</v>
      </c>
      <c r="B49" s="40">
        <v>41</v>
      </c>
      <c r="C49" s="40">
        <v>550</v>
      </c>
      <c r="D49" s="40">
        <v>37</v>
      </c>
      <c r="E49" s="40">
        <v>197</v>
      </c>
      <c r="F49" s="40">
        <v>171</v>
      </c>
      <c r="G49" s="134">
        <v>108</v>
      </c>
      <c r="H49" s="135">
        <f t="shared" si="6"/>
        <v>1104</v>
      </c>
    </row>
    <row r="50" spans="1:8" s="3" customFormat="1" ht="12.75" customHeight="1">
      <c r="A50" s="113" t="s">
        <v>8</v>
      </c>
      <c r="B50" s="40">
        <v>38</v>
      </c>
      <c r="C50" s="40">
        <v>559</v>
      </c>
      <c r="D50" s="40">
        <v>32</v>
      </c>
      <c r="E50" s="40">
        <v>200</v>
      </c>
      <c r="F50" s="40">
        <v>194</v>
      </c>
      <c r="G50" s="134">
        <v>118</v>
      </c>
      <c r="H50" s="135">
        <f t="shared" si="6"/>
        <v>1141</v>
      </c>
    </row>
    <row r="51" spans="1:8" s="3" customFormat="1" ht="12.75" customHeight="1">
      <c r="A51" s="113" t="s">
        <v>43</v>
      </c>
      <c r="B51" s="40">
        <v>27</v>
      </c>
      <c r="C51" s="40">
        <v>577</v>
      </c>
      <c r="D51" s="40">
        <v>30</v>
      </c>
      <c r="E51" s="40">
        <v>199</v>
      </c>
      <c r="F51" s="40">
        <v>235</v>
      </c>
      <c r="G51" s="134">
        <v>134</v>
      </c>
      <c r="H51" s="135">
        <f t="shared" si="6"/>
        <v>1202</v>
      </c>
    </row>
    <row r="52" spans="1:8" s="3" customFormat="1" ht="12.75" customHeight="1">
      <c r="A52" s="113" t="s">
        <v>44</v>
      </c>
      <c r="B52" s="40">
        <v>30</v>
      </c>
      <c r="C52" s="40">
        <v>493</v>
      </c>
      <c r="D52" s="40">
        <v>20</v>
      </c>
      <c r="E52" s="40">
        <v>170</v>
      </c>
      <c r="F52" s="40">
        <v>201</v>
      </c>
      <c r="G52" s="134">
        <v>87</v>
      </c>
      <c r="H52" s="135">
        <f t="shared" si="6"/>
        <v>1001</v>
      </c>
    </row>
    <row r="53" spans="1:8" s="3" customFormat="1" ht="12.75" customHeight="1">
      <c r="A53" s="113" t="s">
        <v>45</v>
      </c>
      <c r="B53" s="40">
        <v>33</v>
      </c>
      <c r="C53" s="40">
        <v>496</v>
      </c>
      <c r="D53" s="40">
        <v>23</v>
      </c>
      <c r="E53" s="40">
        <v>117</v>
      </c>
      <c r="F53" s="40">
        <v>184</v>
      </c>
      <c r="G53" s="134">
        <v>100</v>
      </c>
      <c r="H53" s="135">
        <f t="shared" si="6"/>
        <v>953</v>
      </c>
    </row>
    <row r="54" spans="1:8" s="3" customFormat="1" ht="12.75" customHeight="1">
      <c r="A54" s="113" t="s">
        <v>46</v>
      </c>
      <c r="B54" s="40">
        <v>53</v>
      </c>
      <c r="C54" s="40">
        <v>635</v>
      </c>
      <c r="D54" s="40">
        <v>24</v>
      </c>
      <c r="E54" s="40">
        <v>158</v>
      </c>
      <c r="F54" s="40">
        <v>197</v>
      </c>
      <c r="G54" s="134">
        <v>86</v>
      </c>
      <c r="H54" s="135">
        <f t="shared" si="6"/>
        <v>1153</v>
      </c>
    </row>
    <row r="55" spans="1:8" s="3" customFormat="1" ht="12.75" customHeight="1" thickBot="1">
      <c r="A55" s="122" t="s">
        <v>47</v>
      </c>
      <c r="B55" s="136">
        <v>457</v>
      </c>
      <c r="C55" s="136">
        <v>6355</v>
      </c>
      <c r="D55" s="136">
        <v>305</v>
      </c>
      <c r="E55" s="136">
        <v>1961</v>
      </c>
      <c r="F55" s="136">
        <v>2212</v>
      </c>
      <c r="G55" s="137">
        <v>1196</v>
      </c>
      <c r="H55" s="138">
        <f t="shared" si="6"/>
        <v>12486</v>
      </c>
    </row>
    <row r="56" spans="1:8" s="3" customFormat="1" ht="12.75" customHeight="1" thickBot="1">
      <c r="A56" s="29" t="s">
        <v>51</v>
      </c>
      <c r="B56" s="36">
        <f>SUM(B44:B55)</f>
        <v>878</v>
      </c>
      <c r="C56" s="36">
        <f aca="true" t="shared" si="7" ref="C56:H56">SUM(C44:C55)</f>
        <v>12228</v>
      </c>
      <c r="D56" s="36">
        <f t="shared" si="7"/>
        <v>580</v>
      </c>
      <c r="E56" s="36">
        <f>SUM(E44:E55)</f>
        <v>3807</v>
      </c>
      <c r="F56" s="36">
        <f t="shared" si="7"/>
        <v>4258</v>
      </c>
      <c r="G56" s="36">
        <f t="shared" si="7"/>
        <v>2309</v>
      </c>
      <c r="H56" s="36">
        <f t="shared" si="7"/>
        <v>24060</v>
      </c>
    </row>
    <row r="57" spans="1:8" s="3" customFormat="1" ht="12.75" customHeight="1">
      <c r="A57" s="114" t="s">
        <v>41</v>
      </c>
      <c r="B57" s="45">
        <v>25</v>
      </c>
      <c r="C57" s="45">
        <v>275</v>
      </c>
      <c r="D57" s="45">
        <v>11</v>
      </c>
      <c r="E57" s="45">
        <v>68</v>
      </c>
      <c r="F57" s="45">
        <v>112</v>
      </c>
      <c r="G57" s="132">
        <v>52</v>
      </c>
      <c r="H57" s="133">
        <f aca="true" t="shared" si="8" ref="H57:H68">SUM(B57:G57)</f>
        <v>543</v>
      </c>
    </row>
    <row r="58" spans="1:8" s="3" customFormat="1" ht="12.75" customHeight="1">
      <c r="A58" s="113" t="s">
        <v>42</v>
      </c>
      <c r="B58" s="40">
        <v>44</v>
      </c>
      <c r="C58" s="40">
        <v>465</v>
      </c>
      <c r="D58" s="40">
        <v>29</v>
      </c>
      <c r="E58" s="40">
        <v>153</v>
      </c>
      <c r="F58" s="40">
        <v>188</v>
      </c>
      <c r="G58" s="134">
        <v>102</v>
      </c>
      <c r="H58" s="135">
        <f t="shared" si="8"/>
        <v>981</v>
      </c>
    </row>
    <row r="59" spans="1:8" s="3" customFormat="1" ht="12.75" customHeight="1">
      <c r="A59" s="113" t="s">
        <v>4</v>
      </c>
      <c r="B59" s="40">
        <v>33</v>
      </c>
      <c r="C59" s="40">
        <v>489</v>
      </c>
      <c r="D59" s="40">
        <v>25</v>
      </c>
      <c r="E59" s="40">
        <v>164</v>
      </c>
      <c r="F59" s="40">
        <v>179</v>
      </c>
      <c r="G59" s="134">
        <v>101</v>
      </c>
      <c r="H59" s="135">
        <f t="shared" si="8"/>
        <v>991</v>
      </c>
    </row>
    <row r="60" spans="1:8" s="3" customFormat="1" ht="12.75" customHeight="1">
      <c r="A60" s="113" t="s">
        <v>5</v>
      </c>
      <c r="B60" s="40">
        <v>31</v>
      </c>
      <c r="C60" s="40">
        <v>489</v>
      </c>
      <c r="D60" s="40">
        <v>22</v>
      </c>
      <c r="E60" s="40">
        <v>126</v>
      </c>
      <c r="F60" s="40">
        <v>141</v>
      </c>
      <c r="G60" s="134">
        <v>79</v>
      </c>
      <c r="H60" s="135">
        <f t="shared" si="8"/>
        <v>888</v>
      </c>
    </row>
    <row r="61" spans="1:8" s="3" customFormat="1" ht="12.75" customHeight="1">
      <c r="A61" s="113" t="s">
        <v>6</v>
      </c>
      <c r="B61" s="40">
        <v>32</v>
      </c>
      <c r="C61" s="40">
        <v>566</v>
      </c>
      <c r="D61" s="40">
        <v>44</v>
      </c>
      <c r="E61" s="40">
        <v>199</v>
      </c>
      <c r="F61" s="40">
        <v>181</v>
      </c>
      <c r="G61" s="134">
        <v>106</v>
      </c>
      <c r="H61" s="135">
        <f t="shared" si="8"/>
        <v>1128</v>
      </c>
    </row>
    <row r="62" spans="1:8" s="3" customFormat="1" ht="12.75" customHeight="1">
      <c r="A62" s="113" t="s">
        <v>7</v>
      </c>
      <c r="B62" s="40">
        <v>42</v>
      </c>
      <c r="C62" s="40">
        <v>548</v>
      </c>
      <c r="D62" s="40">
        <v>39</v>
      </c>
      <c r="E62" s="40">
        <v>203</v>
      </c>
      <c r="F62" s="40">
        <v>198</v>
      </c>
      <c r="G62" s="134">
        <v>91</v>
      </c>
      <c r="H62" s="135">
        <f t="shared" si="8"/>
        <v>1121</v>
      </c>
    </row>
    <row r="63" spans="1:8" s="3" customFormat="1" ht="12.75" customHeight="1">
      <c r="A63" s="113" t="s">
        <v>8</v>
      </c>
      <c r="B63" s="40">
        <v>31</v>
      </c>
      <c r="C63" s="40">
        <v>512</v>
      </c>
      <c r="D63" s="40">
        <v>47</v>
      </c>
      <c r="E63" s="40">
        <v>155</v>
      </c>
      <c r="F63" s="40">
        <v>202</v>
      </c>
      <c r="G63" s="134">
        <v>109</v>
      </c>
      <c r="H63" s="135">
        <f t="shared" si="8"/>
        <v>1056</v>
      </c>
    </row>
    <row r="64" spans="1:8" s="3" customFormat="1" ht="12.75" customHeight="1">
      <c r="A64" s="113" t="s">
        <v>43</v>
      </c>
      <c r="B64" s="40">
        <v>33</v>
      </c>
      <c r="C64" s="40">
        <v>468</v>
      </c>
      <c r="D64" s="40">
        <v>47</v>
      </c>
      <c r="E64" s="40">
        <v>169</v>
      </c>
      <c r="F64" s="40">
        <v>227</v>
      </c>
      <c r="G64" s="134">
        <v>135</v>
      </c>
      <c r="H64" s="135">
        <f t="shared" si="8"/>
        <v>1079</v>
      </c>
    </row>
    <row r="65" spans="1:8" s="3" customFormat="1" ht="12.75" customHeight="1">
      <c r="A65" s="113" t="s">
        <v>44</v>
      </c>
      <c r="B65" s="40">
        <v>38</v>
      </c>
      <c r="C65" s="40">
        <v>464</v>
      </c>
      <c r="D65" s="40">
        <v>29</v>
      </c>
      <c r="E65" s="40">
        <v>145</v>
      </c>
      <c r="F65" s="40">
        <v>268</v>
      </c>
      <c r="G65" s="134">
        <v>144</v>
      </c>
      <c r="H65" s="135">
        <f t="shared" si="8"/>
        <v>1088</v>
      </c>
    </row>
    <row r="66" spans="1:8" s="3" customFormat="1" ht="12.75" customHeight="1">
      <c r="A66" s="113" t="s">
        <v>45</v>
      </c>
      <c r="B66" s="40">
        <v>30</v>
      </c>
      <c r="C66" s="40">
        <v>494</v>
      </c>
      <c r="D66" s="40">
        <v>32</v>
      </c>
      <c r="E66" s="40">
        <v>134</v>
      </c>
      <c r="F66" s="40">
        <v>269</v>
      </c>
      <c r="G66" s="134">
        <v>137</v>
      </c>
      <c r="H66" s="135">
        <f t="shared" si="8"/>
        <v>1096</v>
      </c>
    </row>
    <row r="67" spans="1:8" s="3" customFormat="1" ht="12.75" customHeight="1">
      <c r="A67" s="113" t="s">
        <v>46</v>
      </c>
      <c r="B67" s="40">
        <v>23</v>
      </c>
      <c r="C67" s="40">
        <v>349</v>
      </c>
      <c r="D67" s="40">
        <v>17</v>
      </c>
      <c r="E67" s="40">
        <v>103</v>
      </c>
      <c r="F67" s="40">
        <v>154</v>
      </c>
      <c r="G67" s="134">
        <v>107</v>
      </c>
      <c r="H67" s="135">
        <f t="shared" si="8"/>
        <v>753</v>
      </c>
    </row>
    <row r="68" spans="1:8" s="3" customFormat="1" ht="12.75" customHeight="1" thickBot="1">
      <c r="A68" s="122" t="s">
        <v>47</v>
      </c>
      <c r="B68" s="136">
        <v>28</v>
      </c>
      <c r="C68" s="136">
        <v>395</v>
      </c>
      <c r="D68" s="136">
        <v>41</v>
      </c>
      <c r="E68" s="136">
        <v>86</v>
      </c>
      <c r="F68" s="136">
        <v>250</v>
      </c>
      <c r="G68" s="137">
        <v>90</v>
      </c>
      <c r="H68" s="138">
        <f t="shared" si="8"/>
        <v>890</v>
      </c>
    </row>
    <row r="69" spans="1:8" s="3" customFormat="1" ht="12.75" customHeight="1" thickBot="1">
      <c r="A69" s="29" t="s">
        <v>52</v>
      </c>
      <c r="B69" s="36">
        <f>SUM(B57:B68)</f>
        <v>390</v>
      </c>
      <c r="C69" s="36">
        <f aca="true" t="shared" si="9" ref="C69:H69">SUM(C57:C68)</f>
        <v>5514</v>
      </c>
      <c r="D69" s="36">
        <f t="shared" si="9"/>
        <v>383</v>
      </c>
      <c r="E69" s="36">
        <f>SUM(E57:E68)</f>
        <v>1705</v>
      </c>
      <c r="F69" s="36">
        <f t="shared" si="9"/>
        <v>2369</v>
      </c>
      <c r="G69" s="36">
        <f t="shared" si="9"/>
        <v>1253</v>
      </c>
      <c r="H69" s="36">
        <f t="shared" si="9"/>
        <v>11614</v>
      </c>
    </row>
    <row r="70" spans="1:8" s="3" customFormat="1" ht="12.75" customHeight="1">
      <c r="A70" s="114" t="s">
        <v>41</v>
      </c>
      <c r="B70" s="45">
        <v>24</v>
      </c>
      <c r="C70" s="45">
        <v>358</v>
      </c>
      <c r="D70" s="45">
        <v>12</v>
      </c>
      <c r="E70" s="45">
        <v>61</v>
      </c>
      <c r="F70" s="45">
        <v>129</v>
      </c>
      <c r="G70" s="132">
        <v>62</v>
      </c>
      <c r="H70" s="133">
        <f aca="true" t="shared" si="10" ref="H70:H81">SUM(B70:G70)</f>
        <v>646</v>
      </c>
    </row>
    <row r="71" spans="1:8" s="3" customFormat="1" ht="12.75" customHeight="1">
      <c r="A71" s="113" t="s">
        <v>42</v>
      </c>
      <c r="B71" s="40">
        <v>36</v>
      </c>
      <c r="C71" s="40">
        <v>344</v>
      </c>
      <c r="D71" s="40">
        <v>8</v>
      </c>
      <c r="E71" s="40">
        <v>64</v>
      </c>
      <c r="F71" s="40">
        <v>174</v>
      </c>
      <c r="G71" s="134">
        <v>91</v>
      </c>
      <c r="H71" s="135">
        <f t="shared" si="10"/>
        <v>717</v>
      </c>
    </row>
    <row r="72" spans="1:8" s="3" customFormat="1" ht="12.75" customHeight="1">
      <c r="A72" s="113" t="s">
        <v>4</v>
      </c>
      <c r="B72" s="40">
        <v>34</v>
      </c>
      <c r="C72" s="40">
        <v>359</v>
      </c>
      <c r="D72" s="40">
        <v>14</v>
      </c>
      <c r="E72" s="40">
        <v>75</v>
      </c>
      <c r="F72" s="40">
        <v>144</v>
      </c>
      <c r="G72" s="134">
        <v>81</v>
      </c>
      <c r="H72" s="135">
        <f t="shared" si="10"/>
        <v>707</v>
      </c>
    </row>
    <row r="73" spans="1:8" s="3" customFormat="1" ht="12.75" customHeight="1">
      <c r="A73" s="113" t="s">
        <v>5</v>
      </c>
      <c r="B73" s="40">
        <v>24</v>
      </c>
      <c r="C73" s="40">
        <v>414</v>
      </c>
      <c r="D73" s="40">
        <v>10</v>
      </c>
      <c r="E73" s="40">
        <v>107</v>
      </c>
      <c r="F73" s="40">
        <v>187</v>
      </c>
      <c r="G73" s="134">
        <v>108</v>
      </c>
      <c r="H73" s="135">
        <f t="shared" si="10"/>
        <v>850</v>
      </c>
    </row>
    <row r="74" spans="1:8" s="3" customFormat="1" ht="12.75" customHeight="1">
      <c r="A74" s="113" t="s">
        <v>6</v>
      </c>
      <c r="B74" s="40">
        <v>31</v>
      </c>
      <c r="C74" s="40">
        <v>545</v>
      </c>
      <c r="D74" s="40">
        <v>30</v>
      </c>
      <c r="E74" s="40">
        <v>144</v>
      </c>
      <c r="F74" s="40">
        <v>250</v>
      </c>
      <c r="G74" s="134">
        <v>168</v>
      </c>
      <c r="H74" s="135">
        <f t="shared" si="10"/>
        <v>1168</v>
      </c>
    </row>
    <row r="75" spans="1:8" s="3" customFormat="1" ht="12.75" customHeight="1">
      <c r="A75" s="113" t="s">
        <v>7</v>
      </c>
      <c r="B75" s="40">
        <v>36</v>
      </c>
      <c r="C75" s="40">
        <v>482</v>
      </c>
      <c r="D75" s="40">
        <v>28</v>
      </c>
      <c r="E75" s="40">
        <v>166</v>
      </c>
      <c r="F75" s="40">
        <v>198</v>
      </c>
      <c r="G75" s="134">
        <v>130</v>
      </c>
      <c r="H75" s="135">
        <f t="shared" si="10"/>
        <v>1040</v>
      </c>
    </row>
    <row r="76" spans="1:8" s="3" customFormat="1" ht="12.75" customHeight="1">
      <c r="A76" s="113" t="s">
        <v>8</v>
      </c>
      <c r="B76" s="40">
        <v>34</v>
      </c>
      <c r="C76" s="40">
        <v>344</v>
      </c>
      <c r="D76" s="40">
        <v>20</v>
      </c>
      <c r="E76" s="40">
        <v>140</v>
      </c>
      <c r="F76" s="40">
        <v>200</v>
      </c>
      <c r="G76" s="134">
        <v>103</v>
      </c>
      <c r="H76" s="135">
        <f t="shared" si="10"/>
        <v>841</v>
      </c>
    </row>
    <row r="77" spans="1:8" s="3" customFormat="1" ht="12.75" customHeight="1">
      <c r="A77" s="113" t="s">
        <v>43</v>
      </c>
      <c r="B77" s="40">
        <v>36</v>
      </c>
      <c r="C77" s="40">
        <v>403</v>
      </c>
      <c r="D77" s="40">
        <v>36</v>
      </c>
      <c r="E77" s="40">
        <v>122</v>
      </c>
      <c r="F77" s="40">
        <v>196</v>
      </c>
      <c r="G77" s="134">
        <v>119</v>
      </c>
      <c r="H77" s="135">
        <f t="shared" si="10"/>
        <v>912</v>
      </c>
    </row>
    <row r="78" spans="1:8" s="3" customFormat="1" ht="12.75" customHeight="1">
      <c r="A78" s="113" t="s">
        <v>44</v>
      </c>
      <c r="B78" s="40">
        <v>40</v>
      </c>
      <c r="C78" s="40">
        <v>394</v>
      </c>
      <c r="D78" s="40">
        <v>26</v>
      </c>
      <c r="E78" s="40">
        <v>79</v>
      </c>
      <c r="F78" s="40">
        <v>169</v>
      </c>
      <c r="G78" s="134">
        <v>95</v>
      </c>
      <c r="H78" s="135">
        <f t="shared" si="10"/>
        <v>803</v>
      </c>
    </row>
    <row r="79" spans="1:8" s="3" customFormat="1" ht="12.75" customHeight="1">
      <c r="A79" s="113" t="s">
        <v>45</v>
      </c>
      <c r="B79" s="40">
        <v>30</v>
      </c>
      <c r="C79" s="40">
        <v>473</v>
      </c>
      <c r="D79" s="40">
        <v>20</v>
      </c>
      <c r="E79" s="40">
        <v>114</v>
      </c>
      <c r="F79" s="40">
        <v>184</v>
      </c>
      <c r="G79" s="134">
        <v>137</v>
      </c>
      <c r="H79" s="135">
        <f t="shared" si="10"/>
        <v>958</v>
      </c>
    </row>
    <row r="80" spans="1:8" s="3" customFormat="1" ht="12.75" customHeight="1">
      <c r="A80" s="113" t="s">
        <v>46</v>
      </c>
      <c r="B80" s="40">
        <v>27</v>
      </c>
      <c r="C80" s="40">
        <v>388</v>
      </c>
      <c r="D80" s="40">
        <v>12</v>
      </c>
      <c r="E80" s="40">
        <v>98</v>
      </c>
      <c r="F80" s="40">
        <v>149</v>
      </c>
      <c r="G80" s="134">
        <v>89</v>
      </c>
      <c r="H80" s="135">
        <f t="shared" si="10"/>
        <v>763</v>
      </c>
    </row>
    <row r="81" spans="1:8" s="3" customFormat="1" ht="12.75" customHeight="1" thickBot="1">
      <c r="A81" s="122" t="s">
        <v>47</v>
      </c>
      <c r="B81" s="136">
        <v>25</v>
      </c>
      <c r="C81" s="136">
        <v>444</v>
      </c>
      <c r="D81" s="136">
        <v>19</v>
      </c>
      <c r="E81" s="136">
        <v>79</v>
      </c>
      <c r="F81" s="136">
        <v>189</v>
      </c>
      <c r="G81" s="137">
        <v>88</v>
      </c>
      <c r="H81" s="138">
        <f t="shared" si="10"/>
        <v>844</v>
      </c>
    </row>
    <row r="82" spans="1:8" s="3" customFormat="1" ht="12.75" customHeight="1" thickBot="1">
      <c r="A82" s="29" t="s">
        <v>53</v>
      </c>
      <c r="B82" s="36">
        <f>SUM(B70:B81)</f>
        <v>377</v>
      </c>
      <c r="C82" s="36">
        <f aca="true" t="shared" si="11" ref="C82:H82">SUM(C70:C81)</f>
        <v>4948</v>
      </c>
      <c r="D82" s="36">
        <f t="shared" si="11"/>
        <v>235</v>
      </c>
      <c r="E82" s="36">
        <f>SUM(E70:E81)</f>
        <v>1249</v>
      </c>
      <c r="F82" s="36">
        <f t="shared" si="11"/>
        <v>2169</v>
      </c>
      <c r="G82" s="36">
        <f t="shared" si="11"/>
        <v>1271</v>
      </c>
      <c r="H82" s="36">
        <f t="shared" si="11"/>
        <v>10249</v>
      </c>
    </row>
    <row r="83" spans="1:8" s="3" customFormat="1" ht="12.75" customHeight="1">
      <c r="A83" s="114" t="s">
        <v>41</v>
      </c>
      <c r="B83" s="45">
        <v>34</v>
      </c>
      <c r="C83" s="45">
        <v>291</v>
      </c>
      <c r="D83" s="45">
        <v>13</v>
      </c>
      <c r="E83" s="45">
        <v>49</v>
      </c>
      <c r="F83" s="45">
        <v>127</v>
      </c>
      <c r="G83" s="132">
        <v>79</v>
      </c>
      <c r="H83" s="133">
        <f aca="true" t="shared" si="12" ref="H83:H94">SUM(B83:G83)</f>
        <v>593</v>
      </c>
    </row>
    <row r="84" spans="1:8" s="3" customFormat="1" ht="12.75" customHeight="1">
      <c r="A84" s="113" t="s">
        <v>42</v>
      </c>
      <c r="B84" s="40">
        <v>30</v>
      </c>
      <c r="C84" s="40">
        <v>406</v>
      </c>
      <c r="D84" s="40">
        <v>25</v>
      </c>
      <c r="E84" s="40">
        <v>76</v>
      </c>
      <c r="F84" s="40">
        <v>181</v>
      </c>
      <c r="G84" s="134">
        <v>145</v>
      </c>
      <c r="H84" s="135">
        <f t="shared" si="12"/>
        <v>863</v>
      </c>
    </row>
    <row r="85" spans="1:8" s="3" customFormat="1" ht="12.75" customHeight="1">
      <c r="A85" s="113" t="s">
        <v>4</v>
      </c>
      <c r="B85" s="40">
        <v>37</v>
      </c>
      <c r="C85" s="40">
        <v>405</v>
      </c>
      <c r="D85" s="40">
        <v>15</v>
      </c>
      <c r="E85" s="40">
        <v>94</v>
      </c>
      <c r="F85" s="40">
        <v>157</v>
      </c>
      <c r="G85" s="134">
        <v>114</v>
      </c>
      <c r="H85" s="135">
        <f t="shared" si="12"/>
        <v>822</v>
      </c>
    </row>
    <row r="86" spans="1:8" s="3" customFormat="1" ht="12.75" customHeight="1">
      <c r="A86" s="113" t="s">
        <v>5</v>
      </c>
      <c r="B86" s="40">
        <v>129</v>
      </c>
      <c r="C86" s="40">
        <v>518</v>
      </c>
      <c r="D86" s="40">
        <v>15</v>
      </c>
      <c r="E86" s="40">
        <v>104</v>
      </c>
      <c r="F86" s="40">
        <v>200</v>
      </c>
      <c r="G86" s="134">
        <v>108</v>
      </c>
      <c r="H86" s="135">
        <f t="shared" si="12"/>
        <v>1074</v>
      </c>
    </row>
    <row r="87" spans="1:8" s="3" customFormat="1" ht="12.75" customHeight="1">
      <c r="A87" s="113" t="s">
        <v>6</v>
      </c>
      <c r="B87" s="40">
        <v>116</v>
      </c>
      <c r="C87" s="40">
        <v>505</v>
      </c>
      <c r="D87" s="40">
        <v>17</v>
      </c>
      <c r="E87" s="40">
        <v>97</v>
      </c>
      <c r="F87" s="40">
        <v>217</v>
      </c>
      <c r="G87" s="134">
        <v>164</v>
      </c>
      <c r="H87" s="135">
        <f t="shared" si="12"/>
        <v>1116</v>
      </c>
    </row>
    <row r="88" spans="1:8" s="3" customFormat="1" ht="12.75" customHeight="1">
      <c r="A88" s="113" t="s">
        <v>7</v>
      </c>
      <c r="B88" s="40">
        <v>93</v>
      </c>
      <c r="C88" s="40">
        <v>458</v>
      </c>
      <c r="D88" s="40">
        <v>17</v>
      </c>
      <c r="E88" s="40">
        <v>115</v>
      </c>
      <c r="F88" s="40">
        <v>209</v>
      </c>
      <c r="G88" s="134">
        <v>128</v>
      </c>
      <c r="H88" s="135">
        <f t="shared" si="12"/>
        <v>1020</v>
      </c>
    </row>
    <row r="89" spans="1:8" s="3" customFormat="1" ht="12.75" customHeight="1">
      <c r="A89" s="113" t="s">
        <v>8</v>
      </c>
      <c r="B89" s="40">
        <v>104</v>
      </c>
      <c r="C89" s="40">
        <v>499</v>
      </c>
      <c r="D89" s="40">
        <v>20</v>
      </c>
      <c r="E89" s="40">
        <v>132</v>
      </c>
      <c r="F89" s="40">
        <v>219</v>
      </c>
      <c r="G89" s="134">
        <v>158</v>
      </c>
      <c r="H89" s="135">
        <f t="shared" si="12"/>
        <v>1132</v>
      </c>
    </row>
    <row r="90" spans="1:8" s="3" customFormat="1" ht="12.75" customHeight="1">
      <c r="A90" s="113" t="s">
        <v>43</v>
      </c>
      <c r="B90" s="40">
        <v>93</v>
      </c>
      <c r="C90" s="40">
        <v>455</v>
      </c>
      <c r="D90" s="40">
        <v>13</v>
      </c>
      <c r="E90" s="40">
        <v>125</v>
      </c>
      <c r="F90" s="40">
        <v>215</v>
      </c>
      <c r="G90" s="134">
        <v>156</v>
      </c>
      <c r="H90" s="135">
        <f t="shared" si="12"/>
        <v>1057</v>
      </c>
    </row>
    <row r="91" spans="1:8" s="3" customFormat="1" ht="12.75" customHeight="1">
      <c r="A91" s="113" t="s">
        <v>44</v>
      </c>
      <c r="B91" s="40">
        <v>90</v>
      </c>
      <c r="C91" s="40">
        <v>469</v>
      </c>
      <c r="D91" s="40">
        <v>35</v>
      </c>
      <c r="E91" s="40">
        <v>112</v>
      </c>
      <c r="F91" s="40">
        <v>255</v>
      </c>
      <c r="G91" s="134">
        <v>163</v>
      </c>
      <c r="H91" s="135">
        <f t="shared" si="12"/>
        <v>1124</v>
      </c>
    </row>
    <row r="92" spans="1:8" s="3" customFormat="1" ht="12.75" customHeight="1">
      <c r="A92" s="113" t="s">
        <v>45</v>
      </c>
      <c r="B92" s="40">
        <v>99</v>
      </c>
      <c r="C92" s="40">
        <v>488</v>
      </c>
      <c r="D92" s="40">
        <v>33</v>
      </c>
      <c r="E92" s="40">
        <v>103</v>
      </c>
      <c r="F92" s="40">
        <v>217</v>
      </c>
      <c r="G92" s="134">
        <v>163</v>
      </c>
      <c r="H92" s="135">
        <f t="shared" si="12"/>
        <v>1103</v>
      </c>
    </row>
    <row r="93" spans="1:8" s="3" customFormat="1" ht="12.75" customHeight="1">
      <c r="A93" s="113" t="s">
        <v>46</v>
      </c>
      <c r="B93" s="40">
        <v>75</v>
      </c>
      <c r="C93" s="40">
        <v>413</v>
      </c>
      <c r="D93" s="40">
        <v>20</v>
      </c>
      <c r="E93" s="40">
        <v>67</v>
      </c>
      <c r="F93" s="40">
        <v>169</v>
      </c>
      <c r="G93" s="134">
        <v>76</v>
      </c>
      <c r="H93" s="135">
        <f t="shared" si="12"/>
        <v>820</v>
      </c>
    </row>
    <row r="94" spans="1:8" s="3" customFormat="1" ht="12.75" customHeight="1" thickBot="1">
      <c r="A94" s="122" t="s">
        <v>47</v>
      </c>
      <c r="B94" s="136">
        <v>78</v>
      </c>
      <c r="C94" s="136">
        <v>551</v>
      </c>
      <c r="D94" s="136">
        <v>21</v>
      </c>
      <c r="E94" s="136">
        <v>63</v>
      </c>
      <c r="F94" s="136">
        <v>157</v>
      </c>
      <c r="G94" s="137">
        <v>110</v>
      </c>
      <c r="H94" s="138">
        <f t="shared" si="12"/>
        <v>980</v>
      </c>
    </row>
    <row r="95" spans="1:8" s="3" customFormat="1" ht="12.75" customHeight="1" thickBot="1">
      <c r="A95" s="29" t="s">
        <v>54</v>
      </c>
      <c r="B95" s="36">
        <f>SUM(B83:B94)</f>
        <v>978</v>
      </c>
      <c r="C95" s="36">
        <f aca="true" t="shared" si="13" ref="C95:H95">SUM(C83:C94)</f>
        <v>5458</v>
      </c>
      <c r="D95" s="36">
        <f t="shared" si="13"/>
        <v>244</v>
      </c>
      <c r="E95" s="36">
        <f>SUM(E83:E94)</f>
        <v>1137</v>
      </c>
      <c r="F95" s="36">
        <f t="shared" si="13"/>
        <v>2323</v>
      </c>
      <c r="G95" s="36">
        <f t="shared" si="13"/>
        <v>1564</v>
      </c>
      <c r="H95" s="36">
        <f t="shared" si="13"/>
        <v>11704</v>
      </c>
    </row>
    <row r="96" spans="1:8" s="3" customFormat="1" ht="12.75" customHeight="1">
      <c r="A96" s="114" t="s">
        <v>41</v>
      </c>
      <c r="B96" s="45">
        <v>75</v>
      </c>
      <c r="C96" s="45">
        <v>344</v>
      </c>
      <c r="D96" s="45">
        <v>9</v>
      </c>
      <c r="E96" s="45">
        <v>66</v>
      </c>
      <c r="F96" s="45">
        <v>117</v>
      </c>
      <c r="G96" s="132">
        <v>63</v>
      </c>
      <c r="H96" s="133">
        <f aca="true" t="shared" si="14" ref="H96:H107">SUM(B96:G96)</f>
        <v>674</v>
      </c>
    </row>
    <row r="97" spans="1:8" s="3" customFormat="1" ht="12.75" customHeight="1">
      <c r="A97" s="113" t="s">
        <v>42</v>
      </c>
      <c r="B97" s="40">
        <v>78</v>
      </c>
      <c r="C97" s="40">
        <v>356</v>
      </c>
      <c r="D97" s="40">
        <v>12</v>
      </c>
      <c r="E97" s="40">
        <v>41</v>
      </c>
      <c r="F97" s="40">
        <v>78</v>
      </c>
      <c r="G97" s="40">
        <v>64</v>
      </c>
      <c r="H97" s="135">
        <f t="shared" si="14"/>
        <v>629</v>
      </c>
    </row>
    <row r="98" spans="1:8" s="3" customFormat="1" ht="12.75" customHeight="1">
      <c r="A98" s="113" t="s">
        <v>4</v>
      </c>
      <c r="B98" s="40">
        <v>85</v>
      </c>
      <c r="C98" s="40">
        <v>401</v>
      </c>
      <c r="D98" s="40">
        <v>16</v>
      </c>
      <c r="E98" s="40">
        <v>60</v>
      </c>
      <c r="F98" s="40">
        <v>143</v>
      </c>
      <c r="G98" s="134">
        <v>62</v>
      </c>
      <c r="H98" s="135">
        <f t="shared" si="14"/>
        <v>767</v>
      </c>
    </row>
    <row r="99" spans="1:8" s="3" customFormat="1" ht="12.75" customHeight="1">
      <c r="A99" s="113" t="s">
        <v>5</v>
      </c>
      <c r="B99" s="40">
        <v>89</v>
      </c>
      <c r="C99" s="40">
        <v>431</v>
      </c>
      <c r="D99" s="40">
        <v>23</v>
      </c>
      <c r="E99" s="40">
        <v>97</v>
      </c>
      <c r="F99" s="40">
        <v>137</v>
      </c>
      <c r="G99" s="134">
        <v>86</v>
      </c>
      <c r="H99" s="135">
        <f t="shared" si="14"/>
        <v>863</v>
      </c>
    </row>
    <row r="100" spans="1:8" s="3" customFormat="1" ht="12.75" customHeight="1">
      <c r="A100" s="113" t="s">
        <v>6</v>
      </c>
      <c r="B100" s="40">
        <v>97</v>
      </c>
      <c r="C100" s="40">
        <v>538</v>
      </c>
      <c r="D100" s="40">
        <v>41</v>
      </c>
      <c r="E100" s="40">
        <v>115</v>
      </c>
      <c r="F100" s="40">
        <v>201</v>
      </c>
      <c r="G100" s="134">
        <v>120</v>
      </c>
      <c r="H100" s="135">
        <f t="shared" si="14"/>
        <v>1112</v>
      </c>
    </row>
    <row r="101" spans="1:8" s="3" customFormat="1" ht="12.75" customHeight="1">
      <c r="A101" s="113" t="s">
        <v>7</v>
      </c>
      <c r="B101" s="40">
        <v>122</v>
      </c>
      <c r="C101" s="40">
        <v>595</v>
      </c>
      <c r="D101" s="40">
        <v>44</v>
      </c>
      <c r="E101" s="40">
        <v>123</v>
      </c>
      <c r="F101" s="40">
        <v>190</v>
      </c>
      <c r="G101" s="134">
        <v>139</v>
      </c>
      <c r="H101" s="135">
        <f t="shared" si="14"/>
        <v>1213</v>
      </c>
    </row>
    <row r="102" spans="1:8" s="3" customFormat="1" ht="12.75" customHeight="1">
      <c r="A102" s="113" t="s">
        <v>8</v>
      </c>
      <c r="B102" s="40">
        <v>116</v>
      </c>
      <c r="C102" s="40">
        <v>657</v>
      </c>
      <c r="D102" s="40">
        <v>22</v>
      </c>
      <c r="E102" s="40">
        <v>162</v>
      </c>
      <c r="F102" s="40">
        <v>191</v>
      </c>
      <c r="G102" s="134">
        <v>137</v>
      </c>
      <c r="H102" s="135">
        <f t="shared" si="14"/>
        <v>1285</v>
      </c>
    </row>
    <row r="103" spans="1:8" s="3" customFormat="1" ht="12.75" customHeight="1">
      <c r="A103" s="113" t="s">
        <v>43</v>
      </c>
      <c r="B103" s="40">
        <v>85</v>
      </c>
      <c r="C103" s="40">
        <v>480</v>
      </c>
      <c r="D103" s="40">
        <v>23</v>
      </c>
      <c r="E103" s="40">
        <v>83</v>
      </c>
      <c r="F103" s="40">
        <v>188</v>
      </c>
      <c r="G103" s="134">
        <v>131</v>
      </c>
      <c r="H103" s="135">
        <f t="shared" si="14"/>
        <v>990</v>
      </c>
    </row>
    <row r="104" spans="1:8" s="3" customFormat="1" ht="12.75" customHeight="1">
      <c r="A104" s="113" t="s">
        <v>44</v>
      </c>
      <c r="B104" s="40">
        <v>81</v>
      </c>
      <c r="C104" s="40">
        <v>526</v>
      </c>
      <c r="D104" s="40">
        <v>20</v>
      </c>
      <c r="E104" s="40">
        <v>111</v>
      </c>
      <c r="F104" s="40">
        <v>174</v>
      </c>
      <c r="G104" s="134">
        <v>127</v>
      </c>
      <c r="H104" s="135">
        <f t="shared" si="14"/>
        <v>1039</v>
      </c>
    </row>
    <row r="105" spans="1:8" s="3" customFormat="1" ht="12.75" customHeight="1">
      <c r="A105" s="113" t="s">
        <v>45</v>
      </c>
      <c r="B105" s="40">
        <v>84</v>
      </c>
      <c r="C105" s="40">
        <v>535</v>
      </c>
      <c r="D105" s="40">
        <v>29</v>
      </c>
      <c r="E105" s="40">
        <v>114</v>
      </c>
      <c r="F105" s="40">
        <v>210</v>
      </c>
      <c r="G105" s="134">
        <v>122</v>
      </c>
      <c r="H105" s="135">
        <f t="shared" si="14"/>
        <v>1094</v>
      </c>
    </row>
    <row r="106" spans="1:8" s="3" customFormat="1" ht="12.75" customHeight="1">
      <c r="A106" s="113" t="s">
        <v>46</v>
      </c>
      <c r="B106" s="40">
        <v>54</v>
      </c>
      <c r="C106" s="40">
        <v>373</v>
      </c>
      <c r="D106" s="40">
        <v>18</v>
      </c>
      <c r="E106" s="40">
        <v>55</v>
      </c>
      <c r="F106" s="40">
        <v>116</v>
      </c>
      <c r="G106" s="134">
        <v>65</v>
      </c>
      <c r="H106" s="135">
        <f t="shared" si="14"/>
        <v>681</v>
      </c>
    </row>
    <row r="107" spans="1:8" s="3" customFormat="1" ht="12.75" customHeight="1" thickBot="1">
      <c r="A107" s="122" t="s">
        <v>47</v>
      </c>
      <c r="B107" s="136">
        <v>80</v>
      </c>
      <c r="C107" s="136">
        <v>571</v>
      </c>
      <c r="D107" s="136">
        <v>33</v>
      </c>
      <c r="E107" s="136">
        <v>93</v>
      </c>
      <c r="F107" s="136">
        <v>154</v>
      </c>
      <c r="G107" s="137">
        <v>106</v>
      </c>
      <c r="H107" s="138">
        <f t="shared" si="14"/>
        <v>1037</v>
      </c>
    </row>
    <row r="108" spans="1:8" s="3" customFormat="1" ht="12.75" customHeight="1" thickBot="1">
      <c r="A108" s="29" t="s">
        <v>55</v>
      </c>
      <c r="B108" s="36">
        <f aca="true" t="shared" si="15" ref="B108:H108">SUM(B96:B107)</f>
        <v>1046</v>
      </c>
      <c r="C108" s="36">
        <f t="shared" si="15"/>
        <v>5807</v>
      </c>
      <c r="D108" s="36">
        <f t="shared" si="15"/>
        <v>290</v>
      </c>
      <c r="E108" s="36">
        <f t="shared" si="15"/>
        <v>1120</v>
      </c>
      <c r="F108" s="36">
        <f t="shared" si="15"/>
        <v>1899</v>
      </c>
      <c r="G108" s="36">
        <f t="shared" si="15"/>
        <v>1222</v>
      </c>
      <c r="H108" s="36">
        <f t="shared" si="15"/>
        <v>11384</v>
      </c>
    </row>
    <row r="109" spans="1:8" s="3" customFormat="1" ht="12.75" customHeight="1">
      <c r="A109" s="114" t="s">
        <v>41</v>
      </c>
      <c r="B109" s="45">
        <v>67</v>
      </c>
      <c r="C109" s="45">
        <v>314</v>
      </c>
      <c r="D109" s="45">
        <v>9</v>
      </c>
      <c r="E109" s="45">
        <v>50</v>
      </c>
      <c r="F109" s="45">
        <v>112</v>
      </c>
      <c r="G109" s="132">
        <v>65</v>
      </c>
      <c r="H109" s="133">
        <f aca="true" t="shared" si="16" ref="H109:H120">SUM(B109:G109)</f>
        <v>617</v>
      </c>
    </row>
    <row r="110" spans="1:8" s="3" customFormat="1" ht="12.75" customHeight="1">
      <c r="A110" s="113" t="s">
        <v>42</v>
      </c>
      <c r="B110" s="40">
        <v>68</v>
      </c>
      <c r="C110" s="40">
        <v>395</v>
      </c>
      <c r="D110" s="40">
        <v>18</v>
      </c>
      <c r="E110" s="40">
        <v>50</v>
      </c>
      <c r="F110" s="40">
        <v>99</v>
      </c>
      <c r="G110" s="134">
        <v>60</v>
      </c>
      <c r="H110" s="135">
        <f t="shared" si="16"/>
        <v>690</v>
      </c>
    </row>
    <row r="111" spans="1:8" s="3" customFormat="1" ht="12.75" customHeight="1">
      <c r="A111" s="113" t="s">
        <v>4</v>
      </c>
      <c r="B111" s="40">
        <v>69</v>
      </c>
      <c r="C111" s="40">
        <v>555</v>
      </c>
      <c r="D111" s="40">
        <v>29</v>
      </c>
      <c r="E111" s="40">
        <v>93</v>
      </c>
      <c r="F111" s="40">
        <v>157</v>
      </c>
      <c r="G111" s="134">
        <v>76</v>
      </c>
      <c r="H111" s="135">
        <f t="shared" si="16"/>
        <v>979</v>
      </c>
    </row>
    <row r="112" spans="1:8" s="3" customFormat="1" ht="12.75" customHeight="1">
      <c r="A112" s="113" t="s">
        <v>5</v>
      </c>
      <c r="B112" s="40">
        <v>95</v>
      </c>
      <c r="C112" s="40">
        <v>496</v>
      </c>
      <c r="D112" s="40">
        <v>38</v>
      </c>
      <c r="E112" s="40">
        <v>88</v>
      </c>
      <c r="F112" s="40">
        <v>185</v>
      </c>
      <c r="G112" s="134">
        <v>118</v>
      </c>
      <c r="H112" s="135">
        <f t="shared" si="16"/>
        <v>1020</v>
      </c>
    </row>
    <row r="113" spans="1:8" s="3" customFormat="1" ht="12.75" customHeight="1">
      <c r="A113" s="113" t="s">
        <v>6</v>
      </c>
      <c r="B113" s="40">
        <v>96</v>
      </c>
      <c r="C113" s="40">
        <v>414</v>
      </c>
      <c r="D113" s="40">
        <v>31</v>
      </c>
      <c r="E113" s="40">
        <v>85</v>
      </c>
      <c r="F113" s="40">
        <v>139</v>
      </c>
      <c r="G113" s="134">
        <v>65</v>
      </c>
      <c r="H113" s="135">
        <f t="shared" si="16"/>
        <v>830</v>
      </c>
    </row>
    <row r="114" spans="1:8" s="3" customFormat="1" ht="12.75" customHeight="1">
      <c r="A114" s="113" t="s">
        <v>7</v>
      </c>
      <c r="B114" s="40">
        <v>102</v>
      </c>
      <c r="C114" s="40">
        <v>589</v>
      </c>
      <c r="D114" s="40">
        <v>45</v>
      </c>
      <c r="E114" s="40">
        <v>98</v>
      </c>
      <c r="F114" s="40">
        <v>157</v>
      </c>
      <c r="G114" s="134">
        <v>123</v>
      </c>
      <c r="H114" s="135">
        <f t="shared" si="16"/>
        <v>1114</v>
      </c>
    </row>
    <row r="115" spans="1:8" s="3" customFormat="1" ht="12.75" customHeight="1">
      <c r="A115" s="113" t="s">
        <v>8</v>
      </c>
      <c r="B115" s="40">
        <v>99</v>
      </c>
      <c r="C115" s="40">
        <v>467</v>
      </c>
      <c r="D115" s="40">
        <v>28</v>
      </c>
      <c r="E115" s="40">
        <v>98</v>
      </c>
      <c r="F115" s="40">
        <v>189</v>
      </c>
      <c r="G115" s="134">
        <v>123</v>
      </c>
      <c r="H115" s="135">
        <f t="shared" si="16"/>
        <v>1004</v>
      </c>
    </row>
    <row r="116" spans="1:8" s="3" customFormat="1" ht="12.75" customHeight="1">
      <c r="A116" s="113" t="s">
        <v>43</v>
      </c>
      <c r="B116" s="40">
        <v>92</v>
      </c>
      <c r="C116" s="40">
        <v>512</v>
      </c>
      <c r="D116" s="40">
        <v>39</v>
      </c>
      <c r="E116" s="40">
        <v>111</v>
      </c>
      <c r="F116" s="40">
        <v>194</v>
      </c>
      <c r="G116" s="134">
        <v>139</v>
      </c>
      <c r="H116" s="135">
        <f t="shared" si="16"/>
        <v>1087</v>
      </c>
    </row>
    <row r="117" spans="1:8" s="3" customFormat="1" ht="12.75" customHeight="1">
      <c r="A117" s="113" t="s">
        <v>44</v>
      </c>
      <c r="B117" s="40">
        <v>104</v>
      </c>
      <c r="C117" s="40">
        <v>489</v>
      </c>
      <c r="D117" s="40">
        <v>26</v>
      </c>
      <c r="E117" s="40">
        <v>108</v>
      </c>
      <c r="F117" s="40">
        <v>170</v>
      </c>
      <c r="G117" s="134">
        <v>128</v>
      </c>
      <c r="H117" s="135">
        <f t="shared" si="16"/>
        <v>1025</v>
      </c>
    </row>
    <row r="118" spans="1:8" s="3" customFormat="1" ht="12.75" customHeight="1">
      <c r="A118" s="113" t="s">
        <v>45</v>
      </c>
      <c r="B118" s="40">
        <v>95</v>
      </c>
      <c r="C118" s="40">
        <v>473</v>
      </c>
      <c r="D118" s="40">
        <v>29</v>
      </c>
      <c r="E118" s="40">
        <v>84</v>
      </c>
      <c r="F118" s="40">
        <v>186</v>
      </c>
      <c r="G118" s="134">
        <v>111</v>
      </c>
      <c r="H118" s="135">
        <f t="shared" si="16"/>
        <v>978</v>
      </c>
    </row>
    <row r="119" spans="1:8" s="3" customFormat="1" ht="12.75" customHeight="1">
      <c r="A119" s="113" t="s">
        <v>46</v>
      </c>
      <c r="B119" s="40">
        <v>69</v>
      </c>
      <c r="C119" s="40">
        <v>445</v>
      </c>
      <c r="D119" s="40">
        <v>11</v>
      </c>
      <c r="E119" s="40">
        <v>66</v>
      </c>
      <c r="F119" s="40">
        <v>123</v>
      </c>
      <c r="G119" s="134">
        <v>80</v>
      </c>
      <c r="H119" s="135">
        <f t="shared" si="16"/>
        <v>794</v>
      </c>
    </row>
    <row r="120" spans="1:8" s="3" customFormat="1" ht="12.75" customHeight="1" thickBot="1">
      <c r="A120" s="122" t="s">
        <v>47</v>
      </c>
      <c r="B120" s="136">
        <v>103</v>
      </c>
      <c r="C120" s="136">
        <v>633</v>
      </c>
      <c r="D120" s="136">
        <v>31</v>
      </c>
      <c r="E120" s="136">
        <v>90</v>
      </c>
      <c r="F120" s="136">
        <v>154</v>
      </c>
      <c r="G120" s="137">
        <v>109</v>
      </c>
      <c r="H120" s="138">
        <f t="shared" si="16"/>
        <v>1120</v>
      </c>
    </row>
    <row r="121" spans="1:8" s="3" customFormat="1" ht="12.75" customHeight="1" thickBot="1">
      <c r="A121" s="29" t="s">
        <v>56</v>
      </c>
      <c r="B121" s="36">
        <f>SUM(B109:B120)</f>
        <v>1059</v>
      </c>
      <c r="C121" s="36">
        <f aca="true" t="shared" si="17" ref="C121:H121">SUM(C109:C120)</f>
        <v>5782</v>
      </c>
      <c r="D121" s="36">
        <f t="shared" si="17"/>
        <v>334</v>
      </c>
      <c r="E121" s="36">
        <f>SUM(E109:E120)</f>
        <v>1021</v>
      </c>
      <c r="F121" s="36">
        <f t="shared" si="17"/>
        <v>1865</v>
      </c>
      <c r="G121" s="36">
        <f t="shared" si="17"/>
        <v>1197</v>
      </c>
      <c r="H121" s="36">
        <f t="shared" si="17"/>
        <v>11258</v>
      </c>
    </row>
    <row r="122" spans="1:8" s="3" customFormat="1" ht="12.75" customHeight="1">
      <c r="A122" s="114" t="s">
        <v>41</v>
      </c>
      <c r="B122" s="45">
        <v>66</v>
      </c>
      <c r="C122" s="45">
        <v>316</v>
      </c>
      <c r="D122" s="45">
        <v>8</v>
      </c>
      <c r="E122" s="45">
        <v>34</v>
      </c>
      <c r="F122" s="45">
        <v>82</v>
      </c>
      <c r="G122" s="132">
        <v>25</v>
      </c>
      <c r="H122" s="133">
        <f aca="true" t="shared" si="18" ref="H122:H133">SUM(B122:G122)</f>
        <v>531</v>
      </c>
    </row>
    <row r="123" spans="1:8" s="3" customFormat="1" ht="12.75" customHeight="1">
      <c r="A123" s="113" t="s">
        <v>42</v>
      </c>
      <c r="B123" s="40">
        <v>93</v>
      </c>
      <c r="C123" s="40">
        <v>426</v>
      </c>
      <c r="D123" s="40">
        <v>12</v>
      </c>
      <c r="E123" s="40">
        <v>56</v>
      </c>
      <c r="F123" s="40">
        <v>107</v>
      </c>
      <c r="G123" s="134">
        <v>51</v>
      </c>
      <c r="H123" s="135">
        <f t="shared" si="18"/>
        <v>745</v>
      </c>
    </row>
    <row r="124" spans="1:8" s="3" customFormat="1" ht="12.75" customHeight="1">
      <c r="A124" s="113" t="s">
        <v>4</v>
      </c>
      <c r="B124" s="40">
        <v>106</v>
      </c>
      <c r="C124" s="40">
        <v>569</v>
      </c>
      <c r="D124" s="40">
        <v>21</v>
      </c>
      <c r="E124" s="40">
        <v>76</v>
      </c>
      <c r="F124" s="40">
        <v>148</v>
      </c>
      <c r="G124" s="134">
        <v>85</v>
      </c>
      <c r="H124" s="135">
        <f t="shared" si="18"/>
        <v>1005</v>
      </c>
    </row>
    <row r="125" spans="1:8" s="3" customFormat="1" ht="12.75" customHeight="1">
      <c r="A125" s="113" t="s">
        <v>5</v>
      </c>
      <c r="B125" s="40">
        <v>99</v>
      </c>
      <c r="C125" s="40">
        <v>451</v>
      </c>
      <c r="D125" s="40">
        <v>18</v>
      </c>
      <c r="E125" s="40">
        <v>77</v>
      </c>
      <c r="F125" s="40">
        <v>173</v>
      </c>
      <c r="G125" s="134">
        <v>90</v>
      </c>
      <c r="H125" s="135">
        <f t="shared" si="18"/>
        <v>908</v>
      </c>
    </row>
    <row r="126" spans="1:8" s="3" customFormat="1" ht="12.75" customHeight="1">
      <c r="A126" s="113" t="s">
        <v>6</v>
      </c>
      <c r="B126" s="40">
        <v>110</v>
      </c>
      <c r="C126" s="40">
        <v>573</v>
      </c>
      <c r="D126" s="40">
        <v>17</v>
      </c>
      <c r="E126" s="40">
        <v>111</v>
      </c>
      <c r="F126" s="40">
        <v>163</v>
      </c>
      <c r="G126" s="134">
        <v>115</v>
      </c>
      <c r="H126" s="135">
        <f t="shared" si="18"/>
        <v>1089</v>
      </c>
    </row>
    <row r="127" spans="1:8" s="3" customFormat="1" ht="12.75" customHeight="1">
      <c r="A127" s="113" t="s">
        <v>7</v>
      </c>
      <c r="B127" s="40">
        <v>113</v>
      </c>
      <c r="C127" s="40">
        <v>550</v>
      </c>
      <c r="D127" s="40">
        <v>25</v>
      </c>
      <c r="E127" s="40">
        <v>91</v>
      </c>
      <c r="F127" s="40">
        <v>177</v>
      </c>
      <c r="G127" s="134">
        <v>110</v>
      </c>
      <c r="H127" s="135">
        <f t="shared" si="18"/>
        <v>1066</v>
      </c>
    </row>
    <row r="128" spans="1:8" s="3" customFormat="1" ht="12.75" customHeight="1">
      <c r="A128" s="113" t="s">
        <v>8</v>
      </c>
      <c r="B128" s="40">
        <v>89</v>
      </c>
      <c r="C128" s="40">
        <v>489</v>
      </c>
      <c r="D128" s="40">
        <v>19</v>
      </c>
      <c r="E128" s="40">
        <v>107</v>
      </c>
      <c r="F128" s="40">
        <v>184</v>
      </c>
      <c r="G128" s="134">
        <v>106</v>
      </c>
      <c r="H128" s="135">
        <f t="shared" si="18"/>
        <v>994</v>
      </c>
    </row>
    <row r="129" spans="1:8" s="3" customFormat="1" ht="12.75" customHeight="1">
      <c r="A129" s="113" t="s">
        <v>43</v>
      </c>
      <c r="B129" s="40">
        <v>68</v>
      </c>
      <c r="C129" s="40">
        <v>586</v>
      </c>
      <c r="D129" s="40">
        <v>32</v>
      </c>
      <c r="E129" s="40">
        <v>117</v>
      </c>
      <c r="F129" s="40">
        <v>216</v>
      </c>
      <c r="G129" s="134">
        <v>123</v>
      </c>
      <c r="H129" s="135">
        <f t="shared" si="18"/>
        <v>1142</v>
      </c>
    </row>
    <row r="130" spans="1:8" s="3" customFormat="1" ht="12.75" customHeight="1">
      <c r="A130" s="113" t="s">
        <v>44</v>
      </c>
      <c r="B130" s="40">
        <v>114</v>
      </c>
      <c r="C130" s="40">
        <v>579</v>
      </c>
      <c r="D130" s="40">
        <v>22</v>
      </c>
      <c r="E130" s="40">
        <v>89</v>
      </c>
      <c r="F130" s="40">
        <v>246</v>
      </c>
      <c r="G130" s="134">
        <v>135</v>
      </c>
      <c r="H130" s="135">
        <f t="shared" si="18"/>
        <v>1185</v>
      </c>
    </row>
    <row r="131" spans="1:8" s="3" customFormat="1" ht="12.75" customHeight="1">
      <c r="A131" s="113" t="s">
        <v>45</v>
      </c>
      <c r="B131" s="40">
        <v>92</v>
      </c>
      <c r="C131" s="40">
        <v>535</v>
      </c>
      <c r="D131" s="40">
        <v>14</v>
      </c>
      <c r="E131" s="40">
        <v>81</v>
      </c>
      <c r="F131" s="40">
        <v>208</v>
      </c>
      <c r="G131" s="134">
        <v>106</v>
      </c>
      <c r="H131" s="135">
        <f t="shared" si="18"/>
        <v>1036</v>
      </c>
    </row>
    <row r="132" spans="1:8" s="3" customFormat="1" ht="12.75" customHeight="1">
      <c r="A132" s="113" t="s">
        <v>46</v>
      </c>
      <c r="B132" s="40">
        <v>84</v>
      </c>
      <c r="C132" s="40">
        <v>451</v>
      </c>
      <c r="D132" s="40">
        <v>26</v>
      </c>
      <c r="E132" s="40">
        <v>43</v>
      </c>
      <c r="F132" s="40">
        <v>137</v>
      </c>
      <c r="G132" s="134">
        <v>98</v>
      </c>
      <c r="H132" s="135">
        <f t="shared" si="18"/>
        <v>839</v>
      </c>
    </row>
    <row r="133" spans="1:8" s="3" customFormat="1" ht="12.75" customHeight="1" thickBot="1">
      <c r="A133" s="122" t="s">
        <v>47</v>
      </c>
      <c r="B133" s="136">
        <v>122</v>
      </c>
      <c r="C133" s="136">
        <v>598</v>
      </c>
      <c r="D133" s="136">
        <v>25</v>
      </c>
      <c r="E133" s="136">
        <v>81</v>
      </c>
      <c r="F133" s="136">
        <v>226</v>
      </c>
      <c r="G133" s="137">
        <v>117</v>
      </c>
      <c r="H133" s="138">
        <f t="shared" si="18"/>
        <v>1169</v>
      </c>
    </row>
    <row r="134" spans="1:8" s="3" customFormat="1" ht="12.75" customHeight="1" thickBot="1">
      <c r="A134" s="29" t="s">
        <v>57</v>
      </c>
      <c r="B134" s="36">
        <f aca="true" t="shared" si="19" ref="B134:H134">SUM(B122:B133)</f>
        <v>1156</v>
      </c>
      <c r="C134" s="36">
        <f t="shared" si="19"/>
        <v>6123</v>
      </c>
      <c r="D134" s="36">
        <f t="shared" si="19"/>
        <v>239</v>
      </c>
      <c r="E134" s="36">
        <f t="shared" si="19"/>
        <v>963</v>
      </c>
      <c r="F134" s="36">
        <f t="shared" si="19"/>
        <v>2067</v>
      </c>
      <c r="G134" s="36">
        <f t="shared" si="19"/>
        <v>1161</v>
      </c>
      <c r="H134" s="36">
        <f t="shared" si="19"/>
        <v>11709</v>
      </c>
    </row>
    <row r="135" spans="1:8" s="3" customFormat="1" ht="12.75" customHeight="1">
      <c r="A135" s="114" t="s">
        <v>41</v>
      </c>
      <c r="B135" s="45">
        <v>85</v>
      </c>
      <c r="C135" s="45">
        <v>309</v>
      </c>
      <c r="D135" s="45">
        <v>15</v>
      </c>
      <c r="E135" s="45">
        <v>35</v>
      </c>
      <c r="F135" s="45">
        <v>80</v>
      </c>
      <c r="G135" s="132">
        <v>42</v>
      </c>
      <c r="H135" s="133">
        <f aca="true" t="shared" si="20" ref="H135:H146">SUM(B135:G135)</f>
        <v>566</v>
      </c>
    </row>
    <row r="136" spans="1:8" s="3" customFormat="1" ht="12.75" customHeight="1">
      <c r="A136" s="113" t="s">
        <v>42</v>
      </c>
      <c r="B136" s="40">
        <v>98</v>
      </c>
      <c r="C136" s="40">
        <v>476</v>
      </c>
      <c r="D136" s="40">
        <v>9</v>
      </c>
      <c r="E136" s="40">
        <v>54</v>
      </c>
      <c r="F136" s="40">
        <v>112</v>
      </c>
      <c r="G136" s="134">
        <v>70</v>
      </c>
      <c r="H136" s="135">
        <f t="shared" si="20"/>
        <v>819</v>
      </c>
    </row>
    <row r="137" spans="1:8" s="3" customFormat="1" ht="12.75" customHeight="1">
      <c r="A137" s="113" t="s">
        <v>4</v>
      </c>
      <c r="B137" s="40">
        <v>124</v>
      </c>
      <c r="C137" s="40">
        <v>630</v>
      </c>
      <c r="D137" s="40">
        <v>27</v>
      </c>
      <c r="E137" s="40">
        <v>94</v>
      </c>
      <c r="F137" s="40">
        <v>168</v>
      </c>
      <c r="G137" s="134">
        <v>106</v>
      </c>
      <c r="H137" s="135">
        <f t="shared" si="20"/>
        <v>1149</v>
      </c>
    </row>
    <row r="138" spans="1:8" s="3" customFormat="1" ht="12.75" customHeight="1">
      <c r="A138" s="113" t="s">
        <v>5</v>
      </c>
      <c r="B138" s="40">
        <v>107</v>
      </c>
      <c r="C138" s="40">
        <v>461</v>
      </c>
      <c r="D138" s="40">
        <v>12</v>
      </c>
      <c r="E138" s="40">
        <v>92</v>
      </c>
      <c r="F138" s="40">
        <v>163</v>
      </c>
      <c r="G138" s="134">
        <v>115</v>
      </c>
      <c r="H138" s="135">
        <f t="shared" si="20"/>
        <v>950</v>
      </c>
    </row>
    <row r="139" spans="1:8" s="3" customFormat="1" ht="12.75" customHeight="1">
      <c r="A139" s="113" t="s">
        <v>6</v>
      </c>
      <c r="B139" s="40">
        <v>119</v>
      </c>
      <c r="C139" s="40">
        <v>617</v>
      </c>
      <c r="D139" s="40">
        <v>10</v>
      </c>
      <c r="E139" s="40">
        <v>108</v>
      </c>
      <c r="F139" s="40">
        <v>204</v>
      </c>
      <c r="G139" s="134">
        <v>135</v>
      </c>
      <c r="H139" s="135">
        <f t="shared" si="20"/>
        <v>1193</v>
      </c>
    </row>
    <row r="140" spans="1:8" s="3" customFormat="1" ht="12.75" customHeight="1">
      <c r="A140" s="113" t="s">
        <v>7</v>
      </c>
      <c r="B140" s="40">
        <v>109</v>
      </c>
      <c r="C140" s="40">
        <v>553</v>
      </c>
      <c r="D140" s="40">
        <v>13</v>
      </c>
      <c r="E140" s="40">
        <v>101</v>
      </c>
      <c r="F140" s="40">
        <v>151</v>
      </c>
      <c r="G140" s="134">
        <v>128</v>
      </c>
      <c r="H140" s="135">
        <f t="shared" si="20"/>
        <v>1055</v>
      </c>
    </row>
    <row r="141" spans="1:8" s="3" customFormat="1" ht="12.75" customHeight="1">
      <c r="A141" s="113" t="s">
        <v>8</v>
      </c>
      <c r="B141" s="40">
        <v>49</v>
      </c>
      <c r="C141" s="40">
        <v>193</v>
      </c>
      <c r="D141" s="40">
        <v>2</v>
      </c>
      <c r="E141" s="40">
        <v>25</v>
      </c>
      <c r="F141" s="40">
        <v>62</v>
      </c>
      <c r="G141" s="134">
        <v>43</v>
      </c>
      <c r="H141" s="135">
        <f t="shared" si="20"/>
        <v>374</v>
      </c>
    </row>
    <row r="142" spans="1:8" s="3" customFormat="1" ht="12.75" customHeight="1">
      <c r="A142" s="113" t="s">
        <v>43</v>
      </c>
      <c r="B142" s="40">
        <v>65</v>
      </c>
      <c r="C142" s="40">
        <v>321</v>
      </c>
      <c r="D142" s="40">
        <v>7</v>
      </c>
      <c r="E142" s="40">
        <v>24</v>
      </c>
      <c r="F142" s="40">
        <v>15</v>
      </c>
      <c r="G142" s="134">
        <v>18</v>
      </c>
      <c r="H142" s="135">
        <f t="shared" si="20"/>
        <v>450</v>
      </c>
    </row>
    <row r="143" spans="1:8" s="3" customFormat="1" ht="12.75" customHeight="1">
      <c r="A143" s="113" t="s">
        <v>44</v>
      </c>
      <c r="B143" s="40">
        <v>79</v>
      </c>
      <c r="C143" s="40">
        <v>369</v>
      </c>
      <c r="D143" s="40">
        <v>18</v>
      </c>
      <c r="E143" s="40">
        <v>46</v>
      </c>
      <c r="F143" s="40">
        <v>54</v>
      </c>
      <c r="G143" s="134">
        <v>32</v>
      </c>
      <c r="H143" s="135">
        <f t="shared" si="20"/>
        <v>598</v>
      </c>
    </row>
    <row r="144" spans="1:8" s="3" customFormat="1" ht="12.75" customHeight="1">
      <c r="A144" s="113" t="s">
        <v>45</v>
      </c>
      <c r="B144" s="40">
        <v>82</v>
      </c>
      <c r="C144" s="40">
        <v>354</v>
      </c>
      <c r="D144" s="40">
        <v>16</v>
      </c>
      <c r="E144" s="40">
        <v>75</v>
      </c>
      <c r="F144" s="40">
        <v>81</v>
      </c>
      <c r="G144" s="134">
        <v>56</v>
      </c>
      <c r="H144" s="135">
        <f t="shared" si="20"/>
        <v>664</v>
      </c>
    </row>
    <row r="145" spans="1:8" s="3" customFormat="1" ht="12.75" customHeight="1">
      <c r="A145" s="113" t="s">
        <v>46</v>
      </c>
      <c r="B145" s="40">
        <v>81</v>
      </c>
      <c r="C145" s="40">
        <v>394</v>
      </c>
      <c r="D145" s="40">
        <v>15</v>
      </c>
      <c r="E145" s="40">
        <v>56</v>
      </c>
      <c r="F145" s="40">
        <v>85</v>
      </c>
      <c r="G145" s="134">
        <v>80</v>
      </c>
      <c r="H145" s="135">
        <f t="shared" si="20"/>
        <v>711</v>
      </c>
    </row>
    <row r="146" spans="1:8" s="3" customFormat="1" ht="12.75" customHeight="1" thickBot="1">
      <c r="A146" s="122" t="s">
        <v>47</v>
      </c>
      <c r="B146" s="136">
        <v>79</v>
      </c>
      <c r="C146" s="136">
        <v>434</v>
      </c>
      <c r="D146" s="136">
        <v>17</v>
      </c>
      <c r="E146" s="136">
        <v>60</v>
      </c>
      <c r="F146" s="136">
        <v>103</v>
      </c>
      <c r="G146" s="137">
        <v>69</v>
      </c>
      <c r="H146" s="138">
        <f t="shared" si="20"/>
        <v>762</v>
      </c>
    </row>
    <row r="147" spans="1:8" s="3" customFormat="1" ht="12.75" customHeight="1" thickBot="1">
      <c r="A147" s="29" t="s">
        <v>58</v>
      </c>
      <c r="B147" s="36">
        <f aca="true" t="shared" si="21" ref="B147:H147">SUM(B135:B146)</f>
        <v>1077</v>
      </c>
      <c r="C147" s="36">
        <f t="shared" si="21"/>
        <v>5111</v>
      </c>
      <c r="D147" s="36">
        <f t="shared" si="21"/>
        <v>161</v>
      </c>
      <c r="E147" s="36">
        <f t="shared" si="21"/>
        <v>770</v>
      </c>
      <c r="F147" s="36">
        <f t="shared" si="21"/>
        <v>1278</v>
      </c>
      <c r="G147" s="36">
        <f t="shared" si="21"/>
        <v>894</v>
      </c>
      <c r="H147" s="36">
        <f t="shared" si="21"/>
        <v>9291</v>
      </c>
    </row>
    <row r="148" spans="1:8" s="3" customFormat="1" ht="12.75" customHeight="1">
      <c r="A148" s="114" t="s">
        <v>41</v>
      </c>
      <c r="B148" s="45">
        <v>58</v>
      </c>
      <c r="C148" s="45">
        <v>279</v>
      </c>
      <c r="D148" s="45">
        <v>6</v>
      </c>
      <c r="E148" s="45">
        <v>35</v>
      </c>
      <c r="F148" s="45">
        <v>78</v>
      </c>
      <c r="G148" s="132">
        <v>36</v>
      </c>
      <c r="H148" s="133">
        <f aca="true" t="shared" si="22" ref="H148:H159">SUM(B148:G148)</f>
        <v>492</v>
      </c>
    </row>
    <row r="149" spans="1:8" s="3" customFormat="1" ht="12.75" customHeight="1">
      <c r="A149" s="113" t="s">
        <v>42</v>
      </c>
      <c r="B149" s="40">
        <v>64</v>
      </c>
      <c r="C149" s="40">
        <v>387</v>
      </c>
      <c r="D149" s="40">
        <v>11</v>
      </c>
      <c r="E149" s="40">
        <v>56</v>
      </c>
      <c r="F149" s="40">
        <v>110</v>
      </c>
      <c r="G149" s="134">
        <v>56</v>
      </c>
      <c r="H149" s="135">
        <f t="shared" si="22"/>
        <v>684</v>
      </c>
    </row>
    <row r="150" spans="1:8" s="3" customFormat="1" ht="12.75" customHeight="1">
      <c r="A150" s="113" t="s">
        <v>4</v>
      </c>
      <c r="B150" s="40">
        <v>101</v>
      </c>
      <c r="C150" s="40">
        <v>441</v>
      </c>
      <c r="D150" s="40">
        <v>20</v>
      </c>
      <c r="E150" s="40">
        <v>65</v>
      </c>
      <c r="F150" s="40">
        <v>142</v>
      </c>
      <c r="G150" s="134">
        <v>76</v>
      </c>
      <c r="H150" s="135">
        <f t="shared" si="22"/>
        <v>845</v>
      </c>
    </row>
    <row r="151" spans="1:8" s="3" customFormat="1" ht="12.75" customHeight="1">
      <c r="A151" s="113" t="s">
        <v>5</v>
      </c>
      <c r="B151" s="40">
        <v>65</v>
      </c>
      <c r="C151" s="40">
        <v>430</v>
      </c>
      <c r="D151" s="40">
        <v>17</v>
      </c>
      <c r="E151" s="40">
        <v>60</v>
      </c>
      <c r="F151" s="40">
        <v>87</v>
      </c>
      <c r="G151" s="134">
        <v>67</v>
      </c>
      <c r="H151" s="135">
        <f t="shared" si="22"/>
        <v>726</v>
      </c>
    </row>
    <row r="152" spans="1:8" s="3" customFormat="1" ht="12.75" customHeight="1">
      <c r="A152" s="113" t="s">
        <v>6</v>
      </c>
      <c r="B152" s="40">
        <v>82</v>
      </c>
      <c r="C152" s="40">
        <v>480</v>
      </c>
      <c r="D152" s="40">
        <v>10</v>
      </c>
      <c r="E152" s="40">
        <v>83</v>
      </c>
      <c r="F152" s="40">
        <v>103</v>
      </c>
      <c r="G152" s="134">
        <v>95</v>
      </c>
      <c r="H152" s="135">
        <f t="shared" si="22"/>
        <v>853</v>
      </c>
    </row>
    <row r="153" spans="1:8" s="3" customFormat="1" ht="12.75" customHeight="1">
      <c r="A153" s="113" t="s">
        <v>7</v>
      </c>
      <c r="B153" s="40">
        <v>106</v>
      </c>
      <c r="C153" s="40">
        <v>481</v>
      </c>
      <c r="D153" s="40">
        <v>18</v>
      </c>
      <c r="E153" s="40">
        <v>64</v>
      </c>
      <c r="F153" s="40">
        <v>100</v>
      </c>
      <c r="G153" s="134">
        <v>54</v>
      </c>
      <c r="H153" s="135">
        <f t="shared" si="22"/>
        <v>823</v>
      </c>
    </row>
    <row r="154" spans="1:8" s="3" customFormat="1" ht="12.75" customHeight="1">
      <c r="A154" s="113" t="s">
        <v>8</v>
      </c>
      <c r="B154" s="40">
        <v>93</v>
      </c>
      <c r="C154" s="40">
        <v>453</v>
      </c>
      <c r="D154" s="40">
        <v>10</v>
      </c>
      <c r="E154" s="40">
        <v>76</v>
      </c>
      <c r="F154" s="40">
        <v>114</v>
      </c>
      <c r="G154" s="134">
        <v>78</v>
      </c>
      <c r="H154" s="135">
        <f t="shared" si="22"/>
        <v>824</v>
      </c>
    </row>
    <row r="155" spans="1:8" s="3" customFormat="1" ht="12.75" customHeight="1">
      <c r="A155" s="113" t="s">
        <v>43</v>
      </c>
      <c r="B155" s="40">
        <v>77</v>
      </c>
      <c r="C155" s="40">
        <v>438</v>
      </c>
      <c r="D155" s="40">
        <v>16</v>
      </c>
      <c r="E155" s="40">
        <v>84</v>
      </c>
      <c r="F155" s="40">
        <v>147</v>
      </c>
      <c r="G155" s="134">
        <v>89</v>
      </c>
      <c r="H155" s="135">
        <f t="shared" si="22"/>
        <v>851</v>
      </c>
    </row>
    <row r="156" spans="1:8" s="3" customFormat="1" ht="12.75" customHeight="1">
      <c r="A156" s="113" t="s">
        <v>44</v>
      </c>
      <c r="B156" s="40">
        <v>69</v>
      </c>
      <c r="C156" s="40">
        <v>400</v>
      </c>
      <c r="D156" s="40">
        <v>8</v>
      </c>
      <c r="E156" s="40">
        <v>77</v>
      </c>
      <c r="F156" s="40">
        <v>112</v>
      </c>
      <c r="G156" s="134">
        <v>88</v>
      </c>
      <c r="H156" s="135">
        <f t="shared" si="22"/>
        <v>754</v>
      </c>
    </row>
    <row r="157" spans="1:8" s="3" customFormat="1" ht="12.75" customHeight="1">
      <c r="A157" s="113" t="s">
        <v>45</v>
      </c>
      <c r="B157" s="40">
        <v>80</v>
      </c>
      <c r="C157" s="40">
        <v>516</v>
      </c>
      <c r="D157" s="40">
        <v>8</v>
      </c>
      <c r="E157" s="40">
        <v>86</v>
      </c>
      <c r="F157" s="40">
        <v>124</v>
      </c>
      <c r="G157" s="134">
        <v>79</v>
      </c>
      <c r="H157" s="135">
        <f t="shared" si="22"/>
        <v>893</v>
      </c>
    </row>
    <row r="158" spans="1:8" s="3" customFormat="1" ht="12.75" customHeight="1">
      <c r="A158" s="113" t="s">
        <v>46</v>
      </c>
      <c r="B158" s="40">
        <v>77</v>
      </c>
      <c r="C158" s="40">
        <v>453</v>
      </c>
      <c r="D158" s="40">
        <v>8</v>
      </c>
      <c r="E158" s="40">
        <v>65</v>
      </c>
      <c r="F158" s="40">
        <v>118</v>
      </c>
      <c r="G158" s="134">
        <v>77</v>
      </c>
      <c r="H158" s="135">
        <f t="shared" si="22"/>
        <v>798</v>
      </c>
    </row>
    <row r="159" spans="1:8" s="3" customFormat="1" ht="12.75" customHeight="1" thickBot="1">
      <c r="A159" s="122" t="s">
        <v>47</v>
      </c>
      <c r="B159" s="136">
        <v>81</v>
      </c>
      <c r="C159" s="136">
        <v>456</v>
      </c>
      <c r="D159" s="136">
        <v>13</v>
      </c>
      <c r="E159" s="136">
        <v>64</v>
      </c>
      <c r="F159" s="136">
        <v>112</v>
      </c>
      <c r="G159" s="137">
        <v>57</v>
      </c>
      <c r="H159" s="138">
        <f t="shared" si="22"/>
        <v>783</v>
      </c>
    </row>
    <row r="160" spans="1:8" s="3" customFormat="1" ht="12.75" customHeight="1" thickBot="1">
      <c r="A160" s="29" t="s">
        <v>59</v>
      </c>
      <c r="B160" s="36">
        <f aca="true" t="shared" si="23" ref="B160:H160">SUM(B148:B159)</f>
        <v>953</v>
      </c>
      <c r="C160" s="36">
        <f t="shared" si="23"/>
        <v>5214</v>
      </c>
      <c r="D160" s="36">
        <f t="shared" si="23"/>
        <v>145</v>
      </c>
      <c r="E160" s="36">
        <f t="shared" si="23"/>
        <v>815</v>
      </c>
      <c r="F160" s="36">
        <f t="shared" si="23"/>
        <v>1347</v>
      </c>
      <c r="G160" s="36">
        <f t="shared" si="23"/>
        <v>852</v>
      </c>
      <c r="H160" s="36">
        <f t="shared" si="23"/>
        <v>9326</v>
      </c>
    </row>
    <row r="161" spans="1:8" s="3" customFormat="1" ht="12.75" customHeight="1">
      <c r="A161" s="114" t="s">
        <v>41</v>
      </c>
      <c r="B161" s="45">
        <v>68</v>
      </c>
      <c r="C161" s="45">
        <v>341</v>
      </c>
      <c r="D161" s="45">
        <v>7</v>
      </c>
      <c r="E161" s="45">
        <v>35</v>
      </c>
      <c r="F161" s="45">
        <v>88</v>
      </c>
      <c r="G161" s="132">
        <v>70</v>
      </c>
      <c r="H161" s="133">
        <f aca="true" t="shared" si="24" ref="H161:H172">SUM(B161:G161)</f>
        <v>609</v>
      </c>
    </row>
    <row r="162" spans="1:8" s="3" customFormat="1" ht="12.75" customHeight="1">
      <c r="A162" s="113" t="s">
        <v>42</v>
      </c>
      <c r="B162" s="40">
        <v>93</v>
      </c>
      <c r="C162" s="40">
        <v>391</v>
      </c>
      <c r="D162" s="40">
        <v>13</v>
      </c>
      <c r="E162" s="40">
        <v>75</v>
      </c>
      <c r="F162" s="40">
        <v>132</v>
      </c>
      <c r="G162" s="134">
        <v>77</v>
      </c>
      <c r="H162" s="135">
        <f t="shared" si="24"/>
        <v>781</v>
      </c>
    </row>
    <row r="163" spans="1:8" s="3" customFormat="1" ht="12.75" customHeight="1">
      <c r="A163" s="113" t="s">
        <v>4</v>
      </c>
      <c r="B163" s="40">
        <v>80</v>
      </c>
      <c r="C163" s="40">
        <v>441</v>
      </c>
      <c r="D163" s="40">
        <v>14</v>
      </c>
      <c r="E163" s="40">
        <v>71</v>
      </c>
      <c r="F163" s="40">
        <v>139</v>
      </c>
      <c r="G163" s="134">
        <v>59</v>
      </c>
      <c r="H163" s="135">
        <f t="shared" si="24"/>
        <v>804</v>
      </c>
    </row>
    <row r="164" spans="1:8" s="3" customFormat="1" ht="12.75" customHeight="1">
      <c r="A164" s="113" t="s">
        <v>5</v>
      </c>
      <c r="B164" s="40">
        <v>89</v>
      </c>
      <c r="C164" s="40">
        <v>500</v>
      </c>
      <c r="D164" s="40">
        <v>16</v>
      </c>
      <c r="E164" s="40">
        <v>96</v>
      </c>
      <c r="F164" s="40">
        <v>122</v>
      </c>
      <c r="G164" s="134">
        <v>80</v>
      </c>
      <c r="H164" s="135">
        <f t="shared" si="24"/>
        <v>903</v>
      </c>
    </row>
    <row r="165" spans="1:8" s="3" customFormat="1" ht="12.75" customHeight="1">
      <c r="A165" s="113" t="s">
        <v>6</v>
      </c>
      <c r="B165" s="40">
        <v>64</v>
      </c>
      <c r="C165" s="40">
        <v>469</v>
      </c>
      <c r="D165" s="40">
        <v>15</v>
      </c>
      <c r="E165" s="40">
        <v>81</v>
      </c>
      <c r="F165" s="40">
        <v>134</v>
      </c>
      <c r="G165" s="134">
        <v>66</v>
      </c>
      <c r="H165" s="135">
        <f t="shared" si="24"/>
        <v>829</v>
      </c>
    </row>
    <row r="166" spans="1:8" s="3" customFormat="1" ht="12.75" customHeight="1">
      <c r="A166" s="113" t="s">
        <v>7</v>
      </c>
      <c r="B166" s="40">
        <v>88</v>
      </c>
      <c r="C166" s="40">
        <v>498</v>
      </c>
      <c r="D166" s="40">
        <v>14</v>
      </c>
      <c r="E166" s="40">
        <v>91</v>
      </c>
      <c r="F166" s="40">
        <v>152</v>
      </c>
      <c r="G166" s="134">
        <v>99</v>
      </c>
      <c r="H166" s="135">
        <f t="shared" si="24"/>
        <v>942</v>
      </c>
    </row>
    <row r="167" spans="1:8" s="3" customFormat="1" ht="12.75" customHeight="1">
      <c r="A167" s="113" t="s">
        <v>8</v>
      </c>
      <c r="B167" s="40">
        <v>87</v>
      </c>
      <c r="C167" s="40">
        <v>509</v>
      </c>
      <c r="D167" s="40">
        <v>22</v>
      </c>
      <c r="E167" s="40">
        <v>91</v>
      </c>
      <c r="F167" s="40">
        <v>140</v>
      </c>
      <c r="G167" s="134">
        <v>82</v>
      </c>
      <c r="H167" s="135">
        <f t="shared" si="24"/>
        <v>931</v>
      </c>
    </row>
    <row r="168" spans="1:8" s="3" customFormat="1" ht="12.75" customHeight="1">
      <c r="A168" s="113" t="s">
        <v>43</v>
      </c>
      <c r="B168" s="40">
        <v>71</v>
      </c>
      <c r="C168" s="40">
        <v>446</v>
      </c>
      <c r="D168" s="40">
        <v>11</v>
      </c>
      <c r="E168" s="40">
        <v>90</v>
      </c>
      <c r="F168" s="40">
        <v>174</v>
      </c>
      <c r="G168" s="134">
        <v>120</v>
      </c>
      <c r="H168" s="135">
        <f t="shared" si="24"/>
        <v>912</v>
      </c>
    </row>
    <row r="169" spans="1:8" s="3" customFormat="1" ht="12.75" customHeight="1">
      <c r="A169" s="113" t="s">
        <v>44</v>
      </c>
      <c r="B169" s="40">
        <v>82</v>
      </c>
      <c r="C169" s="40">
        <v>527</v>
      </c>
      <c r="D169" s="40">
        <v>14</v>
      </c>
      <c r="E169" s="40">
        <v>83</v>
      </c>
      <c r="F169" s="40">
        <v>192</v>
      </c>
      <c r="G169" s="134">
        <v>111</v>
      </c>
      <c r="H169" s="135">
        <f t="shared" si="24"/>
        <v>1009</v>
      </c>
    </row>
    <row r="170" spans="1:8" s="3" customFormat="1" ht="12.75" customHeight="1">
      <c r="A170" s="113" t="s">
        <v>45</v>
      </c>
      <c r="B170" s="40">
        <v>74</v>
      </c>
      <c r="C170" s="40">
        <v>495</v>
      </c>
      <c r="D170" s="40">
        <v>17</v>
      </c>
      <c r="E170" s="40">
        <v>106</v>
      </c>
      <c r="F170" s="40">
        <v>208</v>
      </c>
      <c r="G170" s="134">
        <v>149</v>
      </c>
      <c r="H170" s="135">
        <f t="shared" si="24"/>
        <v>1049</v>
      </c>
    </row>
    <row r="171" spans="1:8" s="3" customFormat="1" ht="12.75" customHeight="1">
      <c r="A171" s="113" t="s">
        <v>46</v>
      </c>
      <c r="B171" s="40">
        <v>97</v>
      </c>
      <c r="C171" s="40">
        <v>539</v>
      </c>
      <c r="D171" s="40">
        <v>12</v>
      </c>
      <c r="E171" s="40">
        <v>124</v>
      </c>
      <c r="F171" s="40">
        <v>198</v>
      </c>
      <c r="G171" s="134">
        <v>138</v>
      </c>
      <c r="H171" s="135">
        <f t="shared" si="24"/>
        <v>1108</v>
      </c>
    </row>
    <row r="172" spans="1:8" s="3" customFormat="1" ht="12.75" customHeight="1" thickBot="1">
      <c r="A172" s="122" t="s">
        <v>47</v>
      </c>
      <c r="B172" s="136">
        <v>153</v>
      </c>
      <c r="C172" s="136">
        <v>1280</v>
      </c>
      <c r="D172" s="136">
        <v>39</v>
      </c>
      <c r="E172" s="136">
        <v>257</v>
      </c>
      <c r="F172" s="136">
        <v>446</v>
      </c>
      <c r="G172" s="137">
        <v>274</v>
      </c>
      <c r="H172" s="138">
        <f t="shared" si="24"/>
        <v>2449</v>
      </c>
    </row>
    <row r="173" spans="1:8" s="3" customFormat="1" ht="12.75" customHeight="1" thickBot="1">
      <c r="A173" s="29" t="s">
        <v>60</v>
      </c>
      <c r="B173" s="36">
        <f aca="true" t="shared" si="25" ref="B173:H173">SUM(B161:B172)</f>
        <v>1046</v>
      </c>
      <c r="C173" s="36">
        <f t="shared" si="25"/>
        <v>6436</v>
      </c>
      <c r="D173" s="36">
        <f t="shared" si="25"/>
        <v>194</v>
      </c>
      <c r="E173" s="36">
        <f t="shared" si="25"/>
        <v>1200</v>
      </c>
      <c r="F173" s="36">
        <f t="shared" si="25"/>
        <v>2125</v>
      </c>
      <c r="G173" s="36">
        <f t="shared" si="25"/>
        <v>1325</v>
      </c>
      <c r="H173" s="36">
        <f t="shared" si="25"/>
        <v>12326</v>
      </c>
    </row>
    <row r="174" spans="1:8" s="3" customFormat="1" ht="12.75" customHeight="1">
      <c r="A174" s="114" t="s">
        <v>41</v>
      </c>
      <c r="B174" s="45">
        <v>41</v>
      </c>
      <c r="C174" s="45">
        <v>156</v>
      </c>
      <c r="D174" s="45">
        <v>4</v>
      </c>
      <c r="E174" s="45">
        <v>32</v>
      </c>
      <c r="F174" s="45">
        <v>49</v>
      </c>
      <c r="G174" s="132">
        <v>18</v>
      </c>
      <c r="H174" s="133">
        <f aca="true" t="shared" si="26" ref="H174:H185">SUM(B174:G174)</f>
        <v>300</v>
      </c>
    </row>
    <row r="175" spans="1:8" s="3" customFormat="1" ht="12.75" customHeight="1">
      <c r="A175" s="113" t="s">
        <v>42</v>
      </c>
      <c r="B175" s="40">
        <v>105</v>
      </c>
      <c r="C175" s="40">
        <v>551</v>
      </c>
      <c r="D175" s="40">
        <v>20</v>
      </c>
      <c r="E175" s="40">
        <v>95</v>
      </c>
      <c r="F175" s="40">
        <v>189</v>
      </c>
      <c r="G175" s="134">
        <v>118</v>
      </c>
      <c r="H175" s="135">
        <f t="shared" si="26"/>
        <v>1078</v>
      </c>
    </row>
    <row r="176" spans="1:8" s="3" customFormat="1" ht="12.75" customHeight="1">
      <c r="A176" s="113" t="s">
        <v>4</v>
      </c>
      <c r="B176" s="40">
        <v>102</v>
      </c>
      <c r="C176" s="40">
        <v>578</v>
      </c>
      <c r="D176" s="40">
        <v>15</v>
      </c>
      <c r="E176" s="40">
        <v>77</v>
      </c>
      <c r="F176" s="40">
        <v>169</v>
      </c>
      <c r="G176" s="134">
        <v>102</v>
      </c>
      <c r="H176" s="135">
        <f t="shared" si="26"/>
        <v>1043</v>
      </c>
    </row>
    <row r="177" spans="1:8" s="3" customFormat="1" ht="12.75" customHeight="1">
      <c r="A177" s="113" t="s">
        <v>5</v>
      </c>
      <c r="B177" s="40">
        <v>86</v>
      </c>
      <c r="C177" s="40">
        <v>587</v>
      </c>
      <c r="D177" s="40">
        <v>7</v>
      </c>
      <c r="E177" s="40">
        <v>98</v>
      </c>
      <c r="F177" s="40">
        <v>194</v>
      </c>
      <c r="G177" s="134">
        <v>142</v>
      </c>
      <c r="H177" s="135">
        <f t="shared" si="26"/>
        <v>1114</v>
      </c>
    </row>
    <row r="178" spans="1:8" s="3" customFormat="1" ht="12.75" customHeight="1">
      <c r="A178" s="113" t="s">
        <v>6</v>
      </c>
      <c r="B178" s="40">
        <v>82</v>
      </c>
      <c r="C178" s="40">
        <v>647</v>
      </c>
      <c r="D178" s="40">
        <v>9</v>
      </c>
      <c r="E178" s="40">
        <v>111</v>
      </c>
      <c r="F178" s="40">
        <v>190</v>
      </c>
      <c r="G178" s="134">
        <v>133</v>
      </c>
      <c r="H178" s="135">
        <f t="shared" si="26"/>
        <v>1172</v>
      </c>
    </row>
    <row r="179" spans="1:8" s="3" customFormat="1" ht="12.75" customHeight="1">
      <c r="A179" s="113" t="s">
        <v>7</v>
      </c>
      <c r="B179" s="40">
        <v>96</v>
      </c>
      <c r="C179" s="40">
        <v>932</v>
      </c>
      <c r="D179" s="40">
        <v>10</v>
      </c>
      <c r="E179" s="40">
        <v>168</v>
      </c>
      <c r="F179" s="40">
        <v>335</v>
      </c>
      <c r="G179" s="134">
        <v>203</v>
      </c>
      <c r="H179" s="135">
        <f t="shared" si="26"/>
        <v>1744</v>
      </c>
    </row>
    <row r="180" spans="1:8" s="3" customFormat="1" ht="12.75" customHeight="1">
      <c r="A180" s="113" t="s">
        <v>8</v>
      </c>
      <c r="B180" s="40">
        <v>67</v>
      </c>
      <c r="C180" s="40">
        <v>345</v>
      </c>
      <c r="D180" s="40">
        <v>7</v>
      </c>
      <c r="E180" s="40">
        <v>73</v>
      </c>
      <c r="F180" s="40">
        <v>67</v>
      </c>
      <c r="G180" s="134">
        <v>28</v>
      </c>
      <c r="H180" s="135">
        <f t="shared" si="26"/>
        <v>587</v>
      </c>
    </row>
    <row r="181" spans="1:8" s="3" customFormat="1" ht="12.75" customHeight="1">
      <c r="A181" s="113" t="s">
        <v>43</v>
      </c>
      <c r="B181" s="40">
        <v>69</v>
      </c>
      <c r="C181" s="40">
        <v>501</v>
      </c>
      <c r="D181" s="40">
        <v>12</v>
      </c>
      <c r="E181" s="40">
        <v>101</v>
      </c>
      <c r="F181" s="40">
        <v>157</v>
      </c>
      <c r="G181" s="134">
        <v>109</v>
      </c>
      <c r="H181" s="135">
        <f t="shared" si="26"/>
        <v>949</v>
      </c>
    </row>
    <row r="182" spans="1:8" s="3" customFormat="1" ht="12.75" customHeight="1">
      <c r="A182" s="113" t="s">
        <v>44</v>
      </c>
      <c r="B182" s="40">
        <v>90</v>
      </c>
      <c r="C182" s="40">
        <v>602</v>
      </c>
      <c r="D182" s="40">
        <v>13</v>
      </c>
      <c r="E182" s="40">
        <v>126</v>
      </c>
      <c r="F182" s="40">
        <v>178</v>
      </c>
      <c r="G182" s="134">
        <v>129</v>
      </c>
      <c r="H182" s="135">
        <f t="shared" si="26"/>
        <v>1138</v>
      </c>
    </row>
    <row r="183" spans="1:8" s="3" customFormat="1" ht="12.75" customHeight="1">
      <c r="A183" s="113" t="s">
        <v>45</v>
      </c>
      <c r="B183" s="40">
        <v>85</v>
      </c>
      <c r="C183" s="40">
        <v>564</v>
      </c>
      <c r="D183" s="40">
        <v>10</v>
      </c>
      <c r="E183" s="40">
        <v>109</v>
      </c>
      <c r="F183" s="40">
        <v>185</v>
      </c>
      <c r="G183" s="134">
        <v>133</v>
      </c>
      <c r="H183" s="135">
        <f t="shared" si="26"/>
        <v>1086</v>
      </c>
    </row>
    <row r="184" spans="1:8" s="3" customFormat="1" ht="12.75" customHeight="1">
      <c r="A184" s="113" t="s">
        <v>46</v>
      </c>
      <c r="B184" s="40">
        <v>87</v>
      </c>
      <c r="C184" s="40">
        <v>606</v>
      </c>
      <c r="D184" s="40">
        <v>11</v>
      </c>
      <c r="E184" s="40">
        <v>98</v>
      </c>
      <c r="F184" s="40">
        <v>176</v>
      </c>
      <c r="G184" s="134">
        <v>100</v>
      </c>
      <c r="H184" s="135">
        <f t="shared" si="26"/>
        <v>1078</v>
      </c>
    </row>
    <row r="185" spans="1:8" s="3" customFormat="1" ht="12.75" customHeight="1" thickBot="1">
      <c r="A185" s="122" t="s">
        <v>47</v>
      </c>
      <c r="B185" s="136">
        <v>119</v>
      </c>
      <c r="C185" s="136">
        <v>897</v>
      </c>
      <c r="D185" s="136">
        <v>17</v>
      </c>
      <c r="E185" s="136">
        <v>145</v>
      </c>
      <c r="F185" s="136">
        <v>292</v>
      </c>
      <c r="G185" s="137">
        <v>158</v>
      </c>
      <c r="H185" s="138">
        <f t="shared" si="26"/>
        <v>1628</v>
      </c>
    </row>
    <row r="186" spans="1:8" s="3" customFormat="1" ht="12.75" customHeight="1" thickBot="1">
      <c r="A186" s="29" t="s">
        <v>61</v>
      </c>
      <c r="B186" s="36">
        <f>SUM(B174:B185)</f>
        <v>1029</v>
      </c>
      <c r="C186" s="36">
        <f>SUM(C174:C185)</f>
        <v>6966</v>
      </c>
      <c r="D186" s="36">
        <f>SUM(D174:D185)</f>
        <v>135</v>
      </c>
      <c r="E186" s="36">
        <f>SUM(E174:E185)</f>
        <v>1233</v>
      </c>
      <c r="F186" s="36"/>
      <c r="G186" s="36">
        <f>SUM(G174:G185)</f>
        <v>1373</v>
      </c>
      <c r="H186" s="36">
        <f>SUM(H174:H185)</f>
        <v>12917</v>
      </c>
    </row>
    <row r="187" spans="1:8" s="3" customFormat="1" ht="12.75" customHeight="1">
      <c r="A187" s="114" t="s">
        <v>41</v>
      </c>
      <c r="B187" s="119">
        <v>55</v>
      </c>
      <c r="C187" s="119">
        <v>424</v>
      </c>
      <c r="D187" s="119">
        <v>8</v>
      </c>
      <c r="E187" s="119">
        <v>72</v>
      </c>
      <c r="F187" s="119">
        <v>109</v>
      </c>
      <c r="G187" s="146">
        <v>81</v>
      </c>
      <c r="H187" s="133">
        <f aca="true" t="shared" si="27" ref="H187:H198">SUM(B187:G187)</f>
        <v>749</v>
      </c>
    </row>
    <row r="188" spans="1:8" s="3" customFormat="1" ht="12.75" customHeight="1">
      <c r="A188" s="113" t="s">
        <v>42</v>
      </c>
      <c r="B188" s="120">
        <v>93</v>
      </c>
      <c r="C188" s="120">
        <v>584</v>
      </c>
      <c r="D188" s="120">
        <v>13</v>
      </c>
      <c r="E188" s="120">
        <v>86</v>
      </c>
      <c r="F188" s="120">
        <v>180</v>
      </c>
      <c r="G188" s="147">
        <v>113</v>
      </c>
      <c r="H188" s="135">
        <f t="shared" si="27"/>
        <v>1069</v>
      </c>
    </row>
    <row r="189" spans="1:8" s="3" customFormat="1" ht="12.75" customHeight="1">
      <c r="A189" s="113" t="s">
        <v>4</v>
      </c>
      <c r="B189" s="120">
        <v>112</v>
      </c>
      <c r="C189" s="120">
        <v>842</v>
      </c>
      <c r="D189" s="120">
        <v>14</v>
      </c>
      <c r="E189" s="120">
        <v>145</v>
      </c>
      <c r="F189" s="120">
        <v>236</v>
      </c>
      <c r="G189" s="147">
        <v>155</v>
      </c>
      <c r="H189" s="135">
        <f t="shared" si="27"/>
        <v>1504</v>
      </c>
    </row>
    <row r="190" spans="1:8" s="3" customFormat="1" ht="12.75" customHeight="1">
      <c r="A190" s="113" t="s">
        <v>5</v>
      </c>
      <c r="B190" s="120">
        <v>90</v>
      </c>
      <c r="C190" s="120">
        <v>656</v>
      </c>
      <c r="D190" s="120">
        <v>14</v>
      </c>
      <c r="E190" s="120">
        <v>105</v>
      </c>
      <c r="F190" s="120">
        <v>174</v>
      </c>
      <c r="G190" s="147">
        <v>113</v>
      </c>
      <c r="H190" s="135">
        <f t="shared" si="27"/>
        <v>1152</v>
      </c>
    </row>
    <row r="191" spans="1:8" s="3" customFormat="1" ht="12.75" customHeight="1">
      <c r="A191" s="113" t="s">
        <v>6</v>
      </c>
      <c r="B191" s="120">
        <v>125</v>
      </c>
      <c r="C191" s="120">
        <v>800</v>
      </c>
      <c r="D191" s="120">
        <v>8</v>
      </c>
      <c r="E191" s="120">
        <v>117</v>
      </c>
      <c r="F191" s="120">
        <v>195</v>
      </c>
      <c r="G191" s="147">
        <v>113</v>
      </c>
      <c r="H191" s="135">
        <f t="shared" si="27"/>
        <v>1358</v>
      </c>
    </row>
    <row r="192" spans="1:8" s="3" customFormat="1" ht="12.75" customHeight="1">
      <c r="A192" s="113" t="s">
        <v>7</v>
      </c>
      <c r="B192" s="120">
        <v>103</v>
      </c>
      <c r="C192" s="120">
        <v>725</v>
      </c>
      <c r="D192" s="120">
        <v>26</v>
      </c>
      <c r="E192" s="120">
        <v>130</v>
      </c>
      <c r="F192" s="120">
        <v>174</v>
      </c>
      <c r="G192" s="147">
        <v>126</v>
      </c>
      <c r="H192" s="135">
        <f t="shared" si="27"/>
        <v>1284</v>
      </c>
    </row>
    <row r="193" spans="1:8" s="3" customFormat="1" ht="12.75" customHeight="1">
      <c r="A193" s="113" t="s">
        <v>8</v>
      </c>
      <c r="B193" s="120">
        <v>99</v>
      </c>
      <c r="C193" s="120">
        <v>805</v>
      </c>
      <c r="D193" s="120">
        <v>20</v>
      </c>
      <c r="E193" s="120">
        <v>154</v>
      </c>
      <c r="F193" s="120">
        <v>221</v>
      </c>
      <c r="G193" s="147">
        <v>176</v>
      </c>
      <c r="H193" s="135">
        <f t="shared" si="27"/>
        <v>1475</v>
      </c>
    </row>
    <row r="194" spans="1:8" s="3" customFormat="1" ht="12.75" customHeight="1">
      <c r="A194" s="113" t="s">
        <v>43</v>
      </c>
      <c r="B194" s="120">
        <v>90</v>
      </c>
      <c r="C194" s="120">
        <v>740</v>
      </c>
      <c r="D194" s="120">
        <v>23</v>
      </c>
      <c r="E194" s="120">
        <v>144</v>
      </c>
      <c r="F194" s="120">
        <v>256</v>
      </c>
      <c r="G194" s="147">
        <v>153</v>
      </c>
      <c r="H194" s="135">
        <f t="shared" si="27"/>
        <v>1406</v>
      </c>
    </row>
    <row r="195" spans="1:8" s="3" customFormat="1" ht="12.75" customHeight="1">
      <c r="A195" s="113" t="s">
        <v>44</v>
      </c>
      <c r="B195" s="120">
        <v>71</v>
      </c>
      <c r="C195" s="120">
        <v>672</v>
      </c>
      <c r="D195" s="120">
        <v>4</v>
      </c>
      <c r="E195" s="120">
        <v>143</v>
      </c>
      <c r="F195" s="120">
        <v>205</v>
      </c>
      <c r="G195" s="147">
        <v>132</v>
      </c>
      <c r="H195" s="135">
        <f t="shared" si="27"/>
        <v>1227</v>
      </c>
    </row>
    <row r="196" spans="1:8" s="3" customFormat="1" ht="12.75" customHeight="1">
      <c r="A196" s="113" t="s">
        <v>45</v>
      </c>
      <c r="B196" s="120">
        <v>96</v>
      </c>
      <c r="C196" s="120">
        <v>719</v>
      </c>
      <c r="D196" s="120">
        <v>16</v>
      </c>
      <c r="E196" s="120">
        <v>177</v>
      </c>
      <c r="F196" s="120">
        <v>324</v>
      </c>
      <c r="G196" s="147">
        <v>217</v>
      </c>
      <c r="H196" s="135">
        <f t="shared" si="27"/>
        <v>1549</v>
      </c>
    </row>
    <row r="197" spans="1:8" s="3" customFormat="1" ht="12.75" customHeight="1">
      <c r="A197" s="113" t="s">
        <v>46</v>
      </c>
      <c r="B197" s="120">
        <v>81</v>
      </c>
      <c r="C197" s="120">
        <v>667</v>
      </c>
      <c r="D197" s="120">
        <v>22</v>
      </c>
      <c r="E197" s="120">
        <v>173</v>
      </c>
      <c r="F197" s="120">
        <v>234</v>
      </c>
      <c r="G197" s="147">
        <v>159</v>
      </c>
      <c r="H197" s="135">
        <f t="shared" si="27"/>
        <v>1336</v>
      </c>
    </row>
    <row r="198" spans="1:8" s="3" customFormat="1" ht="12.75" customHeight="1" thickBot="1">
      <c r="A198" s="112" t="s">
        <v>47</v>
      </c>
      <c r="B198" s="148">
        <v>98</v>
      </c>
      <c r="C198" s="148">
        <v>804</v>
      </c>
      <c r="D198" s="148">
        <v>28</v>
      </c>
      <c r="E198" s="148">
        <v>146</v>
      </c>
      <c r="F198" s="148">
        <v>278</v>
      </c>
      <c r="G198" s="149">
        <v>178</v>
      </c>
      <c r="H198" s="150">
        <f t="shared" si="27"/>
        <v>1532</v>
      </c>
    </row>
    <row r="199" spans="1:8" s="3" customFormat="1" ht="12.75" customHeight="1" thickBot="1">
      <c r="A199" s="29" t="s">
        <v>62</v>
      </c>
      <c r="B199" s="151">
        <f>SUM(B187:B198)</f>
        <v>1113</v>
      </c>
      <c r="C199" s="151">
        <f aca="true" t="shared" si="28" ref="C199:H199">SUM(C187:C198)</f>
        <v>8438</v>
      </c>
      <c r="D199" s="151">
        <f t="shared" si="28"/>
        <v>196</v>
      </c>
      <c r="E199" s="151">
        <f t="shared" si="28"/>
        <v>1592</v>
      </c>
      <c r="F199" s="151">
        <f t="shared" si="28"/>
        <v>2586</v>
      </c>
      <c r="G199" s="151">
        <f t="shared" si="28"/>
        <v>1716</v>
      </c>
      <c r="H199" s="151">
        <f t="shared" si="28"/>
        <v>15641</v>
      </c>
    </row>
    <row r="200" spans="1:8" s="3" customFormat="1" ht="12.75" customHeight="1">
      <c r="A200" s="114" t="s">
        <v>41</v>
      </c>
      <c r="B200" s="119">
        <v>89</v>
      </c>
      <c r="C200" s="119">
        <v>593</v>
      </c>
      <c r="D200" s="119">
        <v>9</v>
      </c>
      <c r="E200" s="119">
        <v>129</v>
      </c>
      <c r="F200" s="119">
        <v>223</v>
      </c>
      <c r="G200" s="146">
        <v>146</v>
      </c>
      <c r="H200" s="133">
        <f aca="true" t="shared" si="29" ref="H200:H211">SUM(B200:G200)</f>
        <v>1189</v>
      </c>
    </row>
    <row r="201" spans="1:8" s="3" customFormat="1" ht="12.75" customHeight="1">
      <c r="A201" s="113" t="s">
        <v>42</v>
      </c>
      <c r="B201" s="120">
        <v>73</v>
      </c>
      <c r="C201" s="120">
        <v>683</v>
      </c>
      <c r="D201" s="120">
        <v>22</v>
      </c>
      <c r="E201" s="120">
        <v>143</v>
      </c>
      <c r="F201" s="120">
        <v>219</v>
      </c>
      <c r="G201" s="147">
        <v>131</v>
      </c>
      <c r="H201" s="135">
        <f t="shared" si="29"/>
        <v>1271</v>
      </c>
    </row>
    <row r="202" spans="1:8" s="3" customFormat="1" ht="12.75" customHeight="1">
      <c r="A202" s="113" t="s">
        <v>4</v>
      </c>
      <c r="B202" s="120">
        <v>84</v>
      </c>
      <c r="C202" s="120">
        <v>759</v>
      </c>
      <c r="D202" s="120">
        <v>18</v>
      </c>
      <c r="E202" s="120">
        <v>180</v>
      </c>
      <c r="F202" s="120">
        <v>251</v>
      </c>
      <c r="G202" s="147">
        <v>174</v>
      </c>
      <c r="H202" s="135">
        <f t="shared" si="29"/>
        <v>1466</v>
      </c>
    </row>
    <row r="203" spans="1:8" s="3" customFormat="1" ht="12.75" customHeight="1">
      <c r="A203" s="113" t="s">
        <v>5</v>
      </c>
      <c r="B203" s="120">
        <v>86</v>
      </c>
      <c r="C203" s="120">
        <v>786</v>
      </c>
      <c r="D203" s="120">
        <v>22</v>
      </c>
      <c r="E203" s="120">
        <v>167</v>
      </c>
      <c r="F203" s="120">
        <v>271</v>
      </c>
      <c r="G203" s="147">
        <v>181</v>
      </c>
      <c r="H203" s="135">
        <f t="shared" si="29"/>
        <v>1513</v>
      </c>
    </row>
    <row r="204" spans="1:8" s="3" customFormat="1" ht="12.75" customHeight="1">
      <c r="A204" s="113" t="s">
        <v>6</v>
      </c>
      <c r="B204" s="120">
        <v>91</v>
      </c>
      <c r="C204" s="120">
        <v>822</v>
      </c>
      <c r="D204" s="120">
        <v>17</v>
      </c>
      <c r="E204" s="120">
        <v>160</v>
      </c>
      <c r="F204" s="120">
        <v>231</v>
      </c>
      <c r="G204" s="147">
        <v>219</v>
      </c>
      <c r="H204" s="135">
        <f t="shared" si="29"/>
        <v>1540</v>
      </c>
    </row>
    <row r="205" spans="1:8" s="3" customFormat="1" ht="12.75" customHeight="1">
      <c r="A205" s="113" t="s">
        <v>7</v>
      </c>
      <c r="B205" s="120">
        <v>90</v>
      </c>
      <c r="C205" s="120">
        <v>773</v>
      </c>
      <c r="D205" s="120">
        <v>11</v>
      </c>
      <c r="E205" s="120">
        <v>159</v>
      </c>
      <c r="F205" s="120">
        <v>206</v>
      </c>
      <c r="G205" s="147">
        <v>158</v>
      </c>
      <c r="H205" s="135">
        <f t="shared" si="29"/>
        <v>1397</v>
      </c>
    </row>
    <row r="206" spans="1:8" s="3" customFormat="1" ht="12.75" customHeight="1">
      <c r="A206" s="113" t="s">
        <v>8</v>
      </c>
      <c r="B206" s="120">
        <v>76</v>
      </c>
      <c r="C206" s="120">
        <v>735</v>
      </c>
      <c r="D206" s="120">
        <v>8</v>
      </c>
      <c r="E206" s="120">
        <v>141</v>
      </c>
      <c r="F206" s="120">
        <v>210</v>
      </c>
      <c r="G206" s="147">
        <v>151</v>
      </c>
      <c r="H206" s="135">
        <f t="shared" si="29"/>
        <v>1321</v>
      </c>
    </row>
    <row r="207" spans="1:8" s="3" customFormat="1" ht="12.75" customHeight="1">
      <c r="A207" s="113" t="s">
        <v>43</v>
      </c>
      <c r="B207" s="120">
        <v>82</v>
      </c>
      <c r="C207" s="120">
        <v>615</v>
      </c>
      <c r="D207" s="120">
        <v>18</v>
      </c>
      <c r="E207" s="120">
        <v>118</v>
      </c>
      <c r="F207" s="120">
        <v>181</v>
      </c>
      <c r="G207" s="147">
        <v>139</v>
      </c>
      <c r="H207" s="135">
        <f t="shared" si="29"/>
        <v>1153</v>
      </c>
    </row>
    <row r="208" spans="1:8" s="3" customFormat="1" ht="12.75" customHeight="1">
      <c r="A208" s="113" t="s">
        <v>44</v>
      </c>
      <c r="B208" s="120">
        <v>53</v>
      </c>
      <c r="C208" s="120">
        <v>672</v>
      </c>
      <c r="D208" s="120">
        <v>14</v>
      </c>
      <c r="E208" s="120">
        <v>152</v>
      </c>
      <c r="F208" s="120">
        <v>196</v>
      </c>
      <c r="G208" s="147">
        <v>140</v>
      </c>
      <c r="H208" s="135">
        <f t="shared" si="29"/>
        <v>1227</v>
      </c>
    </row>
    <row r="209" spans="1:8" s="3" customFormat="1" ht="12.75" customHeight="1">
      <c r="A209" s="113" t="s">
        <v>45</v>
      </c>
      <c r="B209" s="120">
        <v>89</v>
      </c>
      <c r="C209" s="120">
        <v>891</v>
      </c>
      <c r="D209" s="120">
        <v>19</v>
      </c>
      <c r="E209" s="120">
        <v>170</v>
      </c>
      <c r="F209" s="120">
        <v>273</v>
      </c>
      <c r="G209" s="147">
        <v>207</v>
      </c>
      <c r="H209" s="135">
        <f t="shared" si="29"/>
        <v>1649</v>
      </c>
    </row>
    <row r="210" spans="1:8" s="3" customFormat="1" ht="12.75" customHeight="1">
      <c r="A210" s="113" t="s">
        <v>46</v>
      </c>
      <c r="B210" s="120">
        <v>60</v>
      </c>
      <c r="C210" s="120">
        <v>628</v>
      </c>
      <c r="D210" s="120">
        <v>18</v>
      </c>
      <c r="E210" s="120">
        <v>97</v>
      </c>
      <c r="F210" s="120">
        <v>169</v>
      </c>
      <c r="G210" s="147">
        <v>152</v>
      </c>
      <c r="H210" s="135">
        <f t="shared" si="29"/>
        <v>1124</v>
      </c>
    </row>
    <row r="211" spans="1:8" s="3" customFormat="1" ht="12.75" customHeight="1" thickBot="1">
      <c r="A211" s="112" t="s">
        <v>47</v>
      </c>
      <c r="B211" s="148">
        <v>82</v>
      </c>
      <c r="C211" s="148">
        <v>716</v>
      </c>
      <c r="D211" s="148">
        <v>9</v>
      </c>
      <c r="E211" s="148">
        <v>129</v>
      </c>
      <c r="F211" s="148">
        <v>227</v>
      </c>
      <c r="G211" s="149">
        <v>134</v>
      </c>
      <c r="H211" s="150">
        <f t="shared" si="29"/>
        <v>1297</v>
      </c>
    </row>
    <row r="212" spans="1:8" s="3" customFormat="1" ht="12.75" customHeight="1" thickBot="1">
      <c r="A212" s="29" t="s">
        <v>14</v>
      </c>
      <c r="B212" s="124">
        <f>SUM(B200:B211)</f>
        <v>955</v>
      </c>
      <c r="C212" s="124">
        <f aca="true" t="shared" si="30" ref="C212:H212">SUM(C200:C211)</f>
        <v>8673</v>
      </c>
      <c r="D212" s="124">
        <f t="shared" si="30"/>
        <v>185</v>
      </c>
      <c r="E212" s="124">
        <f t="shared" si="30"/>
        <v>1745</v>
      </c>
      <c r="F212" s="124">
        <f t="shared" si="30"/>
        <v>2657</v>
      </c>
      <c r="G212" s="124">
        <f t="shared" si="30"/>
        <v>1932</v>
      </c>
      <c r="H212" s="124">
        <f t="shared" si="30"/>
        <v>16147</v>
      </c>
    </row>
    <row r="213" spans="1:8" s="3" customFormat="1" ht="12.75" customHeight="1">
      <c r="A213" s="114" t="s">
        <v>41</v>
      </c>
      <c r="B213" s="119">
        <v>82</v>
      </c>
      <c r="C213" s="119">
        <v>579</v>
      </c>
      <c r="D213" s="119">
        <v>17</v>
      </c>
      <c r="E213" s="119">
        <v>123</v>
      </c>
      <c r="F213" s="119">
        <v>170</v>
      </c>
      <c r="G213" s="146">
        <v>133</v>
      </c>
      <c r="H213" s="133">
        <f aca="true" t="shared" si="31" ref="H213:H224">SUM(B213:G213)</f>
        <v>1104</v>
      </c>
    </row>
    <row r="214" spans="1:8" s="3" customFormat="1" ht="12.75" customHeight="1">
      <c r="A214" s="113" t="s">
        <v>42</v>
      </c>
      <c r="B214" s="120">
        <v>63</v>
      </c>
      <c r="C214" s="120">
        <v>666</v>
      </c>
      <c r="D214" s="120">
        <v>15</v>
      </c>
      <c r="E214" s="120">
        <v>116</v>
      </c>
      <c r="F214" s="120">
        <v>202</v>
      </c>
      <c r="G214" s="147">
        <v>140</v>
      </c>
      <c r="H214" s="135">
        <f t="shared" si="31"/>
        <v>1202</v>
      </c>
    </row>
    <row r="215" spans="1:8" s="3" customFormat="1" ht="12.75" customHeight="1">
      <c r="A215" s="113" t="s">
        <v>4</v>
      </c>
      <c r="B215" s="120">
        <v>78</v>
      </c>
      <c r="C215" s="120">
        <v>685</v>
      </c>
      <c r="D215" s="120">
        <v>17</v>
      </c>
      <c r="E215" s="120">
        <v>127</v>
      </c>
      <c r="F215" s="120">
        <v>148</v>
      </c>
      <c r="G215" s="147">
        <v>134</v>
      </c>
      <c r="H215" s="135">
        <f t="shared" si="31"/>
        <v>1189</v>
      </c>
    </row>
    <row r="216" spans="1:8" s="3" customFormat="1" ht="12.75" customHeight="1">
      <c r="A216" s="113" t="s">
        <v>5</v>
      </c>
      <c r="B216" s="120">
        <v>81</v>
      </c>
      <c r="C216" s="120">
        <v>733</v>
      </c>
      <c r="D216" s="120">
        <v>10</v>
      </c>
      <c r="E216" s="120">
        <v>171</v>
      </c>
      <c r="F216" s="120">
        <v>259</v>
      </c>
      <c r="G216" s="147">
        <v>153</v>
      </c>
      <c r="H216" s="135">
        <f t="shared" si="31"/>
        <v>1407</v>
      </c>
    </row>
    <row r="217" spans="1:8" s="3" customFormat="1" ht="12.75" customHeight="1">
      <c r="A217" s="113" t="s">
        <v>6</v>
      </c>
      <c r="B217" s="120">
        <v>116</v>
      </c>
      <c r="C217" s="120">
        <v>799</v>
      </c>
      <c r="D217" s="120">
        <v>20</v>
      </c>
      <c r="E217" s="120">
        <v>185</v>
      </c>
      <c r="F217" s="120">
        <v>270</v>
      </c>
      <c r="G217" s="147">
        <v>178</v>
      </c>
      <c r="H217" s="135">
        <f t="shared" si="31"/>
        <v>1568</v>
      </c>
    </row>
    <row r="218" spans="1:8" s="3" customFormat="1" ht="12.75" customHeight="1">
      <c r="A218" s="113" t="s">
        <v>7</v>
      </c>
      <c r="B218" s="120">
        <v>67</v>
      </c>
      <c r="C218" s="120">
        <v>796</v>
      </c>
      <c r="D218" s="120">
        <v>24</v>
      </c>
      <c r="E218" s="120">
        <v>167</v>
      </c>
      <c r="F218" s="120">
        <v>251</v>
      </c>
      <c r="G218" s="147">
        <v>137</v>
      </c>
      <c r="H218" s="135">
        <f t="shared" si="31"/>
        <v>1442</v>
      </c>
    </row>
    <row r="219" spans="1:8" s="3" customFormat="1" ht="12.75" customHeight="1">
      <c r="A219" s="113" t="s">
        <v>8</v>
      </c>
      <c r="B219" s="120">
        <v>110</v>
      </c>
      <c r="C219" s="120">
        <v>761</v>
      </c>
      <c r="D219" s="120">
        <v>25</v>
      </c>
      <c r="E219" s="120">
        <v>183</v>
      </c>
      <c r="F219" s="120">
        <v>238</v>
      </c>
      <c r="G219" s="147">
        <v>189</v>
      </c>
      <c r="H219" s="135">
        <f t="shared" si="31"/>
        <v>1506</v>
      </c>
    </row>
    <row r="220" spans="1:8" s="3" customFormat="1" ht="12.75" customHeight="1">
      <c r="A220" s="113" t="s">
        <v>43</v>
      </c>
      <c r="B220" s="120">
        <v>78</v>
      </c>
      <c r="C220" s="120">
        <v>634</v>
      </c>
      <c r="D220" s="120">
        <v>13</v>
      </c>
      <c r="E220" s="120">
        <v>134</v>
      </c>
      <c r="F220" s="120">
        <v>222</v>
      </c>
      <c r="G220" s="147">
        <v>180</v>
      </c>
      <c r="H220" s="135">
        <f t="shared" si="31"/>
        <v>1261</v>
      </c>
    </row>
    <row r="221" spans="1:8" s="3" customFormat="1" ht="12.75" customHeight="1">
      <c r="A221" s="113" t="s">
        <v>44</v>
      </c>
      <c r="B221" s="120">
        <v>71</v>
      </c>
      <c r="C221" s="120">
        <v>620</v>
      </c>
      <c r="D221" s="120">
        <v>13</v>
      </c>
      <c r="E221" s="120">
        <v>176</v>
      </c>
      <c r="F221" s="120">
        <v>207</v>
      </c>
      <c r="G221" s="147">
        <v>182</v>
      </c>
      <c r="H221" s="135">
        <f t="shared" si="31"/>
        <v>1269</v>
      </c>
    </row>
    <row r="222" spans="1:8" s="3" customFormat="1" ht="12.75" customHeight="1">
      <c r="A222" s="113" t="s">
        <v>45</v>
      </c>
      <c r="B222" s="120">
        <v>77</v>
      </c>
      <c r="C222" s="120">
        <v>684</v>
      </c>
      <c r="D222" s="120">
        <v>16</v>
      </c>
      <c r="E222" s="120">
        <v>199</v>
      </c>
      <c r="F222" s="120">
        <v>302</v>
      </c>
      <c r="G222" s="147">
        <v>251</v>
      </c>
      <c r="H222" s="135">
        <f t="shared" si="31"/>
        <v>1529</v>
      </c>
    </row>
    <row r="223" spans="1:8" s="3" customFormat="1" ht="12.75" customHeight="1">
      <c r="A223" s="113" t="s">
        <v>46</v>
      </c>
      <c r="B223" s="120">
        <v>85</v>
      </c>
      <c r="C223" s="120">
        <v>628</v>
      </c>
      <c r="D223" s="120">
        <v>14</v>
      </c>
      <c r="E223" s="120">
        <v>137</v>
      </c>
      <c r="F223" s="120">
        <v>191</v>
      </c>
      <c r="G223" s="147">
        <v>162</v>
      </c>
      <c r="H223" s="135">
        <f t="shared" si="31"/>
        <v>1217</v>
      </c>
    </row>
    <row r="224" spans="1:8" s="3" customFormat="1" ht="12.75" customHeight="1" thickBot="1">
      <c r="A224" s="112" t="s">
        <v>47</v>
      </c>
      <c r="B224" s="148">
        <v>68</v>
      </c>
      <c r="C224" s="148">
        <v>678</v>
      </c>
      <c r="D224" s="148">
        <v>7</v>
      </c>
      <c r="E224" s="148">
        <v>141</v>
      </c>
      <c r="F224" s="148">
        <v>289</v>
      </c>
      <c r="G224" s="149">
        <v>175</v>
      </c>
      <c r="H224" s="150">
        <f t="shared" si="31"/>
        <v>1358</v>
      </c>
    </row>
    <row r="225" spans="1:8" s="3" customFormat="1" ht="12.75" customHeight="1" thickBot="1">
      <c r="A225" s="29" t="s">
        <v>159</v>
      </c>
      <c r="B225" s="124">
        <f>SUM(B213:B224)</f>
        <v>976</v>
      </c>
      <c r="C225" s="124">
        <f aca="true" t="shared" si="32" ref="C225:H225">SUM(C213:C224)</f>
        <v>8263</v>
      </c>
      <c r="D225" s="124">
        <f t="shared" si="32"/>
        <v>191</v>
      </c>
      <c r="E225" s="124">
        <f t="shared" si="32"/>
        <v>1859</v>
      </c>
      <c r="F225" s="124">
        <f t="shared" si="32"/>
        <v>2749</v>
      </c>
      <c r="G225" s="124">
        <f t="shared" si="32"/>
        <v>2014</v>
      </c>
      <c r="H225" s="124">
        <f t="shared" si="32"/>
        <v>16052</v>
      </c>
    </row>
    <row r="226" spans="1:8" s="3" customFormat="1" ht="12.75" customHeight="1">
      <c r="A226" s="114" t="s">
        <v>41</v>
      </c>
      <c r="B226" s="143">
        <f aca="true" t="shared" si="33" ref="B226:G226">B5+B18+B31+B44+B57+B70+B83+B96+B109+B122+B135+B148+B161+B174+B187+B200+B213</f>
        <v>1064</v>
      </c>
      <c r="C226" s="143">
        <f t="shared" si="33"/>
        <v>6507</v>
      </c>
      <c r="D226" s="143">
        <f t="shared" si="33"/>
        <v>195</v>
      </c>
      <c r="E226" s="143">
        <f t="shared" si="33"/>
        <v>1150</v>
      </c>
      <c r="F226" s="143">
        <f t="shared" si="33"/>
        <v>1971</v>
      </c>
      <c r="G226" s="143">
        <f t="shared" si="33"/>
        <v>1158</v>
      </c>
      <c r="H226" s="143">
        <f>SUM(B226:G226)</f>
        <v>12045</v>
      </c>
    </row>
    <row r="227" spans="1:8" s="3" customFormat="1" ht="12.75" customHeight="1">
      <c r="A227" s="113" t="s">
        <v>42</v>
      </c>
      <c r="B227" s="144">
        <f aca="true" t="shared" si="34" ref="B227:G237">B6+B19+B32+B45+B58+B71+B84+B97+B110+B123+B136+B149+B162+B175+B188+B201+B214</f>
        <v>1251</v>
      </c>
      <c r="C227" s="144">
        <f t="shared" si="34"/>
        <v>8807</v>
      </c>
      <c r="D227" s="144">
        <f t="shared" si="34"/>
        <v>293</v>
      </c>
      <c r="E227" s="144">
        <f t="shared" si="34"/>
        <v>1619</v>
      </c>
      <c r="F227" s="144">
        <f t="shared" si="34"/>
        <v>2671</v>
      </c>
      <c r="G227" s="144">
        <f t="shared" si="34"/>
        <v>1604</v>
      </c>
      <c r="H227" s="144">
        <f aca="true" t="shared" si="35" ref="H227:H238">SUM(B227:G227)</f>
        <v>16245</v>
      </c>
    </row>
    <row r="228" spans="1:8" s="3" customFormat="1" ht="12.75" customHeight="1">
      <c r="A228" s="113" t="s">
        <v>4</v>
      </c>
      <c r="B228" s="144">
        <f t="shared" si="34"/>
        <v>1246</v>
      </c>
      <c r="C228" s="144">
        <f t="shared" si="34"/>
        <v>10132</v>
      </c>
      <c r="D228" s="144">
        <f t="shared" si="34"/>
        <v>328</v>
      </c>
      <c r="E228" s="144">
        <f t="shared" si="34"/>
        <v>2163</v>
      </c>
      <c r="F228" s="144">
        <f t="shared" si="34"/>
        <v>2920</v>
      </c>
      <c r="G228" s="144">
        <f t="shared" si="34"/>
        <v>1738</v>
      </c>
      <c r="H228" s="144">
        <f t="shared" si="35"/>
        <v>18527</v>
      </c>
    </row>
    <row r="229" spans="1:8" s="3" customFormat="1" ht="12.75" customHeight="1">
      <c r="A229" s="113" t="s">
        <v>5</v>
      </c>
      <c r="B229" s="144">
        <f t="shared" si="34"/>
        <v>1241</v>
      </c>
      <c r="C229" s="144">
        <f t="shared" si="34"/>
        <v>9356</v>
      </c>
      <c r="D229" s="144">
        <f t="shared" si="34"/>
        <v>296</v>
      </c>
      <c r="E229" s="144">
        <f t="shared" si="34"/>
        <v>2050</v>
      </c>
      <c r="F229" s="144">
        <f t="shared" si="34"/>
        <v>2975</v>
      </c>
      <c r="G229" s="144">
        <f t="shared" si="34"/>
        <v>1779</v>
      </c>
      <c r="H229" s="144">
        <f t="shared" si="35"/>
        <v>17697</v>
      </c>
    </row>
    <row r="230" spans="1:8" s="3" customFormat="1" ht="12.75" customHeight="1">
      <c r="A230" s="113" t="s">
        <v>6</v>
      </c>
      <c r="B230" s="144">
        <f t="shared" si="34"/>
        <v>1346</v>
      </c>
      <c r="C230" s="144">
        <f t="shared" si="34"/>
        <v>10735</v>
      </c>
      <c r="D230" s="144">
        <f t="shared" si="34"/>
        <v>370</v>
      </c>
      <c r="E230" s="144">
        <f t="shared" si="34"/>
        <v>2384</v>
      </c>
      <c r="F230" s="144">
        <f t="shared" si="34"/>
        <v>3284</v>
      </c>
      <c r="G230" s="144">
        <f t="shared" si="34"/>
        <v>2041</v>
      </c>
      <c r="H230" s="144">
        <f t="shared" si="35"/>
        <v>20160</v>
      </c>
    </row>
    <row r="231" spans="1:8" s="3" customFormat="1" ht="12.75" customHeight="1">
      <c r="A231" s="113" t="s">
        <v>7</v>
      </c>
      <c r="B231" s="144">
        <f t="shared" si="34"/>
        <v>1375</v>
      </c>
      <c r="C231" s="144">
        <f t="shared" si="34"/>
        <v>10703</v>
      </c>
      <c r="D231" s="144">
        <f t="shared" si="34"/>
        <v>407</v>
      </c>
      <c r="E231" s="144">
        <f t="shared" si="34"/>
        <v>2425</v>
      </c>
      <c r="F231" s="144">
        <f t="shared" si="34"/>
        <v>3185</v>
      </c>
      <c r="G231" s="144">
        <f t="shared" si="34"/>
        <v>2024</v>
      </c>
      <c r="H231" s="144">
        <f t="shared" si="35"/>
        <v>20119</v>
      </c>
    </row>
    <row r="232" spans="1:8" s="3" customFormat="1" ht="12.75" customHeight="1">
      <c r="A232" s="113" t="s">
        <v>8</v>
      </c>
      <c r="B232" s="144">
        <f t="shared" si="34"/>
        <v>1236</v>
      </c>
      <c r="C232" s="144">
        <f t="shared" si="34"/>
        <v>9601</v>
      </c>
      <c r="D232" s="144">
        <f t="shared" si="34"/>
        <v>363</v>
      </c>
      <c r="E232" s="144">
        <f t="shared" si="34"/>
        <v>2383</v>
      </c>
      <c r="F232" s="144">
        <f t="shared" si="34"/>
        <v>3035</v>
      </c>
      <c r="G232" s="144">
        <f t="shared" si="34"/>
        <v>1964</v>
      </c>
      <c r="H232" s="144">
        <f t="shared" si="35"/>
        <v>18582</v>
      </c>
    </row>
    <row r="233" spans="1:8" s="3" customFormat="1" ht="12.75" customHeight="1">
      <c r="A233" s="113" t="s">
        <v>43</v>
      </c>
      <c r="B233" s="144">
        <f t="shared" si="34"/>
        <v>1092</v>
      </c>
      <c r="C233" s="144">
        <f t="shared" si="34"/>
        <v>9280</v>
      </c>
      <c r="D233" s="144">
        <f t="shared" si="34"/>
        <v>372</v>
      </c>
      <c r="E233" s="144">
        <f t="shared" si="34"/>
        <v>2218</v>
      </c>
      <c r="F233" s="144">
        <f t="shared" si="34"/>
        <v>3278</v>
      </c>
      <c r="G233" s="144">
        <f t="shared" si="34"/>
        <v>2071</v>
      </c>
      <c r="H233" s="144">
        <f t="shared" si="35"/>
        <v>18311</v>
      </c>
    </row>
    <row r="234" spans="1:8" s="3" customFormat="1" ht="12.75" customHeight="1">
      <c r="A234" s="113" t="s">
        <v>44</v>
      </c>
      <c r="B234" s="144">
        <f t="shared" si="34"/>
        <v>1150</v>
      </c>
      <c r="C234" s="144">
        <f t="shared" si="34"/>
        <v>9496</v>
      </c>
      <c r="D234" s="144">
        <f t="shared" si="34"/>
        <v>330</v>
      </c>
      <c r="E234" s="144">
        <f t="shared" si="34"/>
        <v>2231</v>
      </c>
      <c r="F234" s="144">
        <f t="shared" si="34"/>
        <v>3262</v>
      </c>
      <c r="G234" s="144">
        <f t="shared" si="34"/>
        <v>2042</v>
      </c>
      <c r="H234" s="144">
        <f t="shared" si="35"/>
        <v>18511</v>
      </c>
    </row>
    <row r="235" spans="1:8" s="3" customFormat="1" ht="12.75" customHeight="1">
      <c r="A235" s="113" t="s">
        <v>45</v>
      </c>
      <c r="B235" s="144">
        <f t="shared" si="34"/>
        <v>1182</v>
      </c>
      <c r="C235" s="144">
        <f t="shared" si="34"/>
        <v>9885</v>
      </c>
      <c r="D235" s="144">
        <f t="shared" si="34"/>
        <v>356</v>
      </c>
      <c r="E235" s="144">
        <f t="shared" si="34"/>
        <v>2198</v>
      </c>
      <c r="F235" s="144">
        <f t="shared" si="34"/>
        <v>3612</v>
      </c>
      <c r="G235" s="144">
        <f t="shared" si="34"/>
        <v>2319</v>
      </c>
      <c r="H235" s="144">
        <f t="shared" si="35"/>
        <v>19552</v>
      </c>
    </row>
    <row r="236" spans="1:8" s="3" customFormat="1" ht="12.75" customHeight="1">
      <c r="A236" s="113" t="s">
        <v>46</v>
      </c>
      <c r="B236" s="144">
        <f t="shared" si="34"/>
        <v>1084</v>
      </c>
      <c r="C236" s="144">
        <f t="shared" si="34"/>
        <v>8785</v>
      </c>
      <c r="D236" s="144">
        <f t="shared" si="34"/>
        <v>296</v>
      </c>
      <c r="E236" s="144">
        <f t="shared" si="34"/>
        <v>1730</v>
      </c>
      <c r="F236" s="144">
        <f t="shared" si="34"/>
        <v>2719</v>
      </c>
      <c r="G236" s="144">
        <f t="shared" si="34"/>
        <v>1780</v>
      </c>
      <c r="H236" s="144">
        <f t="shared" si="35"/>
        <v>16394</v>
      </c>
    </row>
    <row r="237" spans="1:8" s="3" customFormat="1" ht="12.75" customHeight="1" thickBot="1">
      <c r="A237" s="122" t="s">
        <v>47</v>
      </c>
      <c r="B237" s="145">
        <f t="shared" si="34"/>
        <v>1756</v>
      </c>
      <c r="C237" s="145">
        <f t="shared" si="34"/>
        <v>17627</v>
      </c>
      <c r="D237" s="145">
        <f t="shared" si="34"/>
        <v>672</v>
      </c>
      <c r="E237" s="145">
        <f t="shared" si="34"/>
        <v>3948</v>
      </c>
      <c r="F237" s="145">
        <f t="shared" si="34"/>
        <v>5926</v>
      </c>
      <c r="G237" s="145">
        <f t="shared" si="34"/>
        <v>3277</v>
      </c>
      <c r="H237" s="145">
        <f t="shared" si="35"/>
        <v>33206</v>
      </c>
    </row>
    <row r="238" spans="1:8" s="3" customFormat="1" ht="12.75" customHeight="1" thickBot="1">
      <c r="A238" s="29" t="s">
        <v>161</v>
      </c>
      <c r="B238" s="242">
        <f aca="true" t="shared" si="36" ref="B238:G238">SUM(B226:B237)</f>
        <v>15023</v>
      </c>
      <c r="C238" s="242">
        <f t="shared" si="36"/>
        <v>120914</v>
      </c>
      <c r="D238" s="242">
        <f t="shared" si="36"/>
        <v>4278</v>
      </c>
      <c r="E238" s="242">
        <f t="shared" si="36"/>
        <v>26499</v>
      </c>
      <c r="F238" s="242">
        <f t="shared" si="36"/>
        <v>38838</v>
      </c>
      <c r="G238" s="242">
        <f t="shared" si="36"/>
        <v>23797</v>
      </c>
      <c r="H238" s="36">
        <f t="shared" si="35"/>
        <v>229349</v>
      </c>
    </row>
    <row r="239" spans="1:6" s="3" customFormat="1" ht="12.75">
      <c r="A239" s="130" t="s">
        <v>63</v>
      </c>
      <c r="F239" s="130" t="s">
        <v>16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ghamamy</cp:lastModifiedBy>
  <cp:lastPrinted>2009-02-24T09:49:48Z</cp:lastPrinted>
  <dcterms:created xsi:type="dcterms:W3CDTF">2006-02-24T09:38:25Z</dcterms:created>
  <dcterms:modified xsi:type="dcterms:W3CDTF">2014-12-11T12:29:19Z</dcterms:modified>
  <cp:category/>
  <cp:version/>
  <cp:contentType/>
  <cp:contentStatus/>
</cp:coreProperties>
</file>