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60" windowHeight="4380" tabRatio="601" activeTab="0"/>
  </bookViews>
  <sheets>
    <sheet name="14." sheetId="1" r:id="rId1"/>
    <sheet name="14.1" sheetId="2" r:id="rId2"/>
    <sheet name="14.2" sheetId="3" r:id="rId3"/>
    <sheet name="14.3" sheetId="4" r:id="rId4"/>
    <sheet name="14.4" sheetId="5" r:id="rId5"/>
    <sheet name="14.5" sheetId="6" r:id="rId6"/>
    <sheet name="14.6-9" sheetId="7" r:id="rId7"/>
    <sheet name="14.10" sheetId="8" r:id="rId8"/>
    <sheet name="14.11" sheetId="9" r:id="rId9"/>
    <sheet name="14.12-26" sheetId="10" r:id="rId10"/>
    <sheet name="14.27" sheetId="11" r:id="rId11"/>
  </sheets>
  <definedNames/>
  <calcPr fullCalcOnLoad="1"/>
</workbook>
</file>

<file path=xl/sharedStrings.xml><?xml version="1.0" encoding="utf-8"?>
<sst xmlns="http://schemas.openxmlformats.org/spreadsheetml/2006/main" count="652" uniqueCount="399">
  <si>
    <t>14. INSURANCE AND REINSURANCE</t>
  </si>
  <si>
    <t>ALIG Life</t>
  </si>
  <si>
    <t>AUG</t>
  </si>
  <si>
    <t>ALIG</t>
  </si>
  <si>
    <t>Trust</t>
  </si>
  <si>
    <t>Bancassurance</t>
  </si>
  <si>
    <t>Sogecap</t>
  </si>
  <si>
    <t>LCI</t>
  </si>
  <si>
    <t>AIG</t>
  </si>
  <si>
    <t>Trust Life</t>
  </si>
  <si>
    <t>Scottosh Life</t>
  </si>
  <si>
    <t>Zurich</t>
  </si>
  <si>
    <t>Libano-Suisse</t>
  </si>
  <si>
    <t>Bahria</t>
  </si>
  <si>
    <t>Total</t>
  </si>
  <si>
    <t>Number</t>
  </si>
  <si>
    <t>Calculated relevant parameters</t>
  </si>
  <si>
    <t>Earned gross premiums</t>
  </si>
  <si>
    <t>Claims incurred</t>
  </si>
  <si>
    <t>Commission or acquisition cost</t>
  </si>
  <si>
    <t>Re-insurance results</t>
  </si>
  <si>
    <t>other general expenses</t>
  </si>
  <si>
    <t>Investment results</t>
  </si>
  <si>
    <t>Relevant ratios</t>
  </si>
  <si>
    <t>Loss ratio: Claims Incurred/Earned Gross Premiums</t>
  </si>
  <si>
    <t>Commission ratio: Acquisition cost/Earned Gross Premiums</t>
  </si>
  <si>
    <t>Re-insurance ratio: Re-insurance Results/Earned Gross Premiums</t>
  </si>
  <si>
    <t>Expense ratio: Other general expenses/Earned Gross Premiums</t>
  </si>
  <si>
    <t>Net accounting ratio: Loss ratio+Re-insurance ratio</t>
  </si>
  <si>
    <t>Combined ratio: Loss ratio+Commission ratio+Reinsurance ratio+Expense ratio</t>
  </si>
  <si>
    <t>Financial income ratio: Investment results/Earned Gross Premiums</t>
  </si>
  <si>
    <t>Arabia</t>
  </si>
  <si>
    <t>Compagnie Libanaise d'assurance</t>
  </si>
  <si>
    <t>ALICO</t>
  </si>
  <si>
    <t>Union Nationale</t>
  </si>
  <si>
    <t>MERACO</t>
  </si>
  <si>
    <t>Al-Mashreq</t>
  </si>
  <si>
    <t>Commercial</t>
  </si>
  <si>
    <t>SNA</t>
  </si>
  <si>
    <t>Phenicienne</t>
  </si>
  <si>
    <t>Nisr</t>
  </si>
  <si>
    <t>Fidelity</t>
  </si>
  <si>
    <t>Berytus</t>
  </si>
  <si>
    <t>Bankers</t>
  </si>
  <si>
    <t>Overseas</t>
  </si>
  <si>
    <t>Arope</t>
  </si>
  <si>
    <t>AXA</t>
  </si>
  <si>
    <t>Libano-Arabe</t>
  </si>
  <si>
    <t>UCA</t>
  </si>
  <si>
    <t>Byblos</t>
  </si>
  <si>
    <t>North Insurance</t>
  </si>
  <si>
    <t>Essalam</t>
  </si>
  <si>
    <t>Cumberland</t>
  </si>
  <si>
    <t>Assurex</t>
  </si>
  <si>
    <t>United Assurance</t>
  </si>
  <si>
    <t>Compass</t>
  </si>
  <si>
    <t>Medgulf</t>
  </si>
  <si>
    <t>Amana</t>
  </si>
  <si>
    <t>Security</t>
  </si>
  <si>
    <t>Adonis</t>
  </si>
  <si>
    <t>Arab Life</t>
  </si>
  <si>
    <t>The Capital</t>
  </si>
  <si>
    <t>Continental Trust</t>
  </si>
  <si>
    <t>UFA</t>
  </si>
  <si>
    <t>Credit Libanais</t>
  </si>
  <si>
    <t>Liberty</t>
  </si>
  <si>
    <t>Victoire</t>
  </si>
  <si>
    <t>ATI</t>
  </si>
  <si>
    <t>Leaders</t>
  </si>
  <si>
    <t>Horizon</t>
  </si>
  <si>
    <t>Fajr el-Khaleej</t>
  </si>
  <si>
    <t>Confidence</t>
  </si>
  <si>
    <t>Gross writings (USD)</t>
  </si>
  <si>
    <t>Change in equity (USD)</t>
  </si>
  <si>
    <t>Return on assets (%)</t>
  </si>
  <si>
    <t>Return on equity (%)</t>
  </si>
  <si>
    <t>Solvency (%)</t>
  </si>
  <si>
    <t>Technical reserves/equity (%)</t>
  </si>
  <si>
    <t>Claims adequacy (%)</t>
  </si>
  <si>
    <t>Net re-insurance cost (%)</t>
  </si>
  <si>
    <t>Avergae company assets (USD)</t>
  </si>
  <si>
    <t>Average company reserves (USD)</t>
  </si>
  <si>
    <t>Average company equity</t>
  </si>
  <si>
    <t>Total portfolio average company premiums (USD)</t>
  </si>
  <si>
    <t>Total portfolio average company claims (USD)</t>
  </si>
  <si>
    <t>Life portfolio average company premiums (USD)</t>
  </si>
  <si>
    <t>Life portfolio average company claims (USD)</t>
  </si>
  <si>
    <t>Non-life portfolio average company premiums (USD)</t>
  </si>
  <si>
    <t>Non-life portfolio average company claims (USD)</t>
  </si>
  <si>
    <t>Number of active companies</t>
  </si>
  <si>
    <t>Claims paid</t>
  </si>
  <si>
    <t>Gross written premiums (USD)</t>
  </si>
  <si>
    <t>Average company premiums (USD)</t>
  </si>
  <si>
    <t>Claims paid (USD)</t>
  </si>
  <si>
    <t>Average company claims (USD)</t>
  </si>
  <si>
    <t>Total assets (USD)</t>
  </si>
  <si>
    <t>Technical reserves (USD)</t>
  </si>
  <si>
    <t>Average company assets (USD)</t>
  </si>
  <si>
    <t>Average company technical reserves (USD)</t>
  </si>
  <si>
    <t>Branch</t>
  </si>
  <si>
    <t>Account</t>
  </si>
  <si>
    <t>Life+Unit-Linked</t>
  </si>
  <si>
    <t>Non-Life</t>
  </si>
  <si>
    <t>Gross premiums</t>
  </si>
  <si>
    <t>Share of portfolio</t>
  </si>
  <si>
    <t>Re-insured ratio</t>
  </si>
  <si>
    <t>Ceded premiums</t>
  </si>
  <si>
    <t>Claims/premiums</t>
  </si>
  <si>
    <t>Reinsurance benefit paid</t>
  </si>
  <si>
    <t>Re-insurance share of claims</t>
  </si>
  <si>
    <t>Change in technical reserves</t>
  </si>
  <si>
    <t>Acquisition cost (brokerage commissions)</t>
  </si>
  <si>
    <t>Insurance commission rate</t>
  </si>
  <si>
    <t>Re-insurance commission income</t>
  </si>
  <si>
    <t>Re-insurance commission rate</t>
  </si>
  <si>
    <t>Gross insurance profits</t>
  </si>
  <si>
    <t>Gross insurance profit margin</t>
  </si>
  <si>
    <t>Net investment income</t>
  </si>
  <si>
    <t>Investment income/premiums</t>
  </si>
  <si>
    <t>Fixed expenses and overheads</t>
  </si>
  <si>
    <t>Fixed expenditures and overheads premiums</t>
  </si>
  <si>
    <t>Income tax</t>
  </si>
  <si>
    <t>Net income after tax</t>
  </si>
  <si>
    <t>Net profit margin</t>
  </si>
  <si>
    <t>Life</t>
  </si>
  <si>
    <t>Unit-Linked</t>
  </si>
  <si>
    <t>Fire</t>
  </si>
  <si>
    <t>Motor compulsory</t>
  </si>
  <si>
    <t>Motor non-compulsory</t>
  </si>
  <si>
    <t>Health</t>
  </si>
  <si>
    <t>Accidents</t>
  </si>
  <si>
    <t>Miscellaneous</t>
  </si>
  <si>
    <t>Others</t>
  </si>
  <si>
    <t>Table 14.10 - Life vs. Non-life condensed Profit and Loss + ratios (USD) in 2007</t>
  </si>
  <si>
    <t>Table 14.11 - Consolidated and condensed Profit and Loss + ratios (USD) in 2007</t>
  </si>
  <si>
    <t>Item</t>
  </si>
  <si>
    <t>Other expenses</t>
  </si>
  <si>
    <t>Total by branch</t>
  </si>
  <si>
    <t>Company</t>
  </si>
  <si>
    <t>Table 14.1 - Licensed insurance branches by company</t>
  </si>
  <si>
    <t>Source: Ministry of Economy and Trade</t>
  </si>
  <si>
    <t>Life Unit-linked</t>
  </si>
  <si>
    <t>General Accidents</t>
  </si>
  <si>
    <t>Credit</t>
  </si>
  <si>
    <t>Table 14.2 - Insurance sector consolidated progress report 2001 to 2007 (in USD)</t>
  </si>
  <si>
    <t>Total written premiums</t>
  </si>
  <si>
    <t>Total claim paid</t>
  </si>
  <si>
    <t>Total Ceded Premiums</t>
  </si>
  <si>
    <t>Written premiums (Non life)</t>
  </si>
  <si>
    <t>claim paid (Non Life)</t>
  </si>
  <si>
    <t>Ceded Premiums (Non life)</t>
  </si>
  <si>
    <t>Written premiums (Life and Unit-linked)</t>
  </si>
  <si>
    <t>Claim paid (Life and Unit-linked)</t>
  </si>
  <si>
    <t>Ceded Premiums (Life and Unit-linked)</t>
  </si>
  <si>
    <t>Total assets</t>
  </si>
  <si>
    <t>Unearned Premium Reserves</t>
  </si>
  <si>
    <t>Outstanding claims reserves</t>
  </si>
  <si>
    <t>Total Technical reserves</t>
  </si>
  <si>
    <t>Total owners' equity</t>
  </si>
  <si>
    <t>Total capitals equity</t>
  </si>
  <si>
    <t>Licensed companies (Life)</t>
  </si>
  <si>
    <t>Licensed companies (Non Life)</t>
  </si>
  <si>
    <t>Licensed companies (Life+Non Life)</t>
  </si>
  <si>
    <t>Table 14.3 - Consolidated Assets for the Insurance Sector on 31/12/2007</t>
  </si>
  <si>
    <t>USD</t>
  </si>
  <si>
    <t>Unpaid capital</t>
  </si>
  <si>
    <t>Intangible assets</t>
  </si>
  <si>
    <t>Investments</t>
  </si>
  <si>
    <t>Land and real estate</t>
  </si>
  <si>
    <t>Investment in subsidiaries and associates</t>
  </si>
  <si>
    <t>Loans</t>
  </si>
  <si>
    <t>Debt securities and other fixed income securities</t>
  </si>
  <si>
    <t>Equity and other variable income shares</t>
  </si>
  <si>
    <t>Funds held under reinsurance treaties</t>
  </si>
  <si>
    <t>Cash and short-term investments</t>
  </si>
  <si>
    <t>Short-term investments</t>
  </si>
  <si>
    <t>Cash</t>
  </si>
  <si>
    <t>Cash deposit under ICC (Guarantees)</t>
  </si>
  <si>
    <t>Accrued investment income</t>
  </si>
  <si>
    <t>Unit-linked contracts investments</t>
  </si>
  <si>
    <t>Real estate investments</t>
  </si>
  <si>
    <t>Bonds and other fixed income securities</t>
  </si>
  <si>
    <t>Reinsurance share in technical reserves (Life)</t>
  </si>
  <si>
    <t>Reinsurance share in technical reserves (Non-Life)</t>
  </si>
  <si>
    <t>Receivable under direct business</t>
  </si>
  <si>
    <t>Past due premiums</t>
  </si>
  <si>
    <t>Other amounts receivable under direct business</t>
  </si>
  <si>
    <t>Amounts due from agents</t>
  </si>
  <si>
    <t>Receivable under reinsurance contracts</t>
  </si>
  <si>
    <t>Amounts recoverable from reinsurers</t>
  </si>
  <si>
    <t>Commissions and expense allowances due</t>
  </si>
  <si>
    <t>Refunds due</t>
  </si>
  <si>
    <t>Other amounts receivable under reinsurance contracts</t>
  </si>
  <si>
    <t>Other assets</t>
  </si>
  <si>
    <t>Operating fixed assets</t>
  </si>
  <si>
    <t>Other receivables</t>
  </si>
  <si>
    <t>Salaries</t>
  </si>
  <si>
    <t>Income tax recoverable (state,  social security, public collectivities)</t>
  </si>
  <si>
    <t>Link account of subsidiaries</t>
  </si>
  <si>
    <t>Other amounts receivables</t>
  </si>
  <si>
    <t>Shareholder's Account</t>
  </si>
  <si>
    <t>Adjustment items</t>
  </si>
  <si>
    <t>Deferred Acquisition Costs</t>
  </si>
  <si>
    <t>Other Adjustment items</t>
  </si>
  <si>
    <t>Earned but unbilled premiums</t>
  </si>
  <si>
    <t>Prepaid expenses</t>
  </si>
  <si>
    <t>Table 14.4 - Consolidated liabilities for the Insurance Sector on 31/12/2007</t>
  </si>
  <si>
    <t>LBP</t>
  </si>
  <si>
    <t>Shareholders' equity</t>
  </si>
  <si>
    <t>Paid up Capital</t>
  </si>
  <si>
    <t>Reserves (Legal and General)</t>
  </si>
  <si>
    <t>Balance carried forward</t>
  </si>
  <si>
    <t>Profit and loss (Current year result)</t>
  </si>
  <si>
    <t>Other reserves</t>
  </si>
  <si>
    <t>Debt and other fixed income securities valuation reserve</t>
  </si>
  <si>
    <t>Equity and other variable income shares valuation reserves</t>
  </si>
  <si>
    <t>Fixed assets revaluation reserves</t>
  </si>
  <si>
    <t>Low priority debts</t>
  </si>
  <si>
    <t>Subordinated debt</t>
  </si>
  <si>
    <t xml:space="preserve">Life Technical reserves (on gross basis) </t>
  </si>
  <si>
    <t>Mathematical reserve (Life)</t>
  </si>
  <si>
    <t>Outstanding claims reserve (Life)</t>
  </si>
  <si>
    <t>IBNR (Incurred But Not Reported) reserve (Life)</t>
  </si>
  <si>
    <t>Loss adjustment expenses reserve (Life)</t>
  </si>
  <si>
    <t>Policyholders' dividend reserve (Life)</t>
  </si>
  <si>
    <t>Other technical reserve (Life)</t>
  </si>
  <si>
    <t>Additional technical reserve (Unit-linked)</t>
  </si>
  <si>
    <t>Non-Life Technical reserves (on gross basis)</t>
  </si>
  <si>
    <t>Unearned premium reserve (Non-Life)</t>
  </si>
  <si>
    <t>Outstanding claims reserve (Non-Life)</t>
  </si>
  <si>
    <t>IBNR (Incurred But Not Reported) reserve (Non-Life)</t>
  </si>
  <si>
    <t>Loss adjustment expenses reserve (Non-Life)</t>
  </si>
  <si>
    <t>Policyholders' dividend reserve (Non-Life)</t>
  </si>
  <si>
    <t>Other technical reserve (Non-Life)</t>
  </si>
  <si>
    <t>Premium Deficiency Reserve</t>
  </si>
  <si>
    <t>Unit-Linked technical reserve</t>
  </si>
  <si>
    <t xml:space="preserve">Provision for risks and charges </t>
  </si>
  <si>
    <t>Debt for funds held under reinsurance treaties</t>
  </si>
  <si>
    <t>Liabilities under direct &amp; Indirect business</t>
  </si>
  <si>
    <t>Liabilities under Direct business</t>
  </si>
  <si>
    <t>Liabilities under Indirect Business</t>
  </si>
  <si>
    <t>Liabilities under reinsurance contracts</t>
  </si>
  <si>
    <t>Debts</t>
  </si>
  <si>
    <t>Borrowed money</t>
  </si>
  <si>
    <t>Bank debts</t>
  </si>
  <si>
    <t>Other debts</t>
  </si>
  <si>
    <t>Other liabilities</t>
  </si>
  <si>
    <t>Tax due (state,  social security, public collectivities)</t>
  </si>
  <si>
    <t>Link accounts of subsidiaries</t>
  </si>
  <si>
    <t>Other creditors</t>
  </si>
  <si>
    <t>Table 14.5 - Consolidated Income Statement for the Insurance Sector on 31/12/2007</t>
  </si>
  <si>
    <t>Motor Compulsory</t>
  </si>
  <si>
    <t>Motor Non-Compulsory</t>
  </si>
  <si>
    <t>Civil Liability</t>
  </si>
  <si>
    <t>Engineering</t>
  </si>
  <si>
    <t xml:space="preserve">Net income after tax </t>
  </si>
  <si>
    <t>Extraordinary expense</t>
  </si>
  <si>
    <t>Extraordinary income</t>
  </si>
  <si>
    <t>Extraordinary net income</t>
  </si>
  <si>
    <t>Net Income Life, Non-Life, and Unit-linked</t>
  </si>
  <si>
    <t>Taxes licenses and associated fees</t>
  </si>
  <si>
    <t>Administration cost</t>
  </si>
  <si>
    <t>Acquisition cost</t>
  </si>
  <si>
    <t>General insurance expense</t>
  </si>
  <si>
    <t>Commission paid by the reinsurer</t>
  </si>
  <si>
    <t>Reinsurance share of changes in unpaid claims and technical reserves</t>
  </si>
  <si>
    <t>foreign</t>
  </si>
  <si>
    <t>local</t>
  </si>
  <si>
    <t>Premiums ceded</t>
  </si>
  <si>
    <t>Net reinsurance income</t>
  </si>
  <si>
    <t>Policyholders' dividend</t>
  </si>
  <si>
    <t>Change in other technical reserve (Life and Non-Life)</t>
  </si>
  <si>
    <t>Change in mathematical reserve (Life)</t>
  </si>
  <si>
    <t>Premiums and similar revenues</t>
  </si>
  <si>
    <t>Written premiums (Life and Non-Life)</t>
  </si>
  <si>
    <t>Net Premiums</t>
  </si>
  <si>
    <t>Cost of policy</t>
  </si>
  <si>
    <t>Policy Fees</t>
  </si>
  <si>
    <t>Change in unread premium reserve</t>
  </si>
  <si>
    <t>Returned/cancelled premiums</t>
  </si>
  <si>
    <t>Other (including accepted premiums)</t>
  </si>
  <si>
    <t>Net investment income (Life and Non-Life)</t>
  </si>
  <si>
    <t>Investment income</t>
  </si>
  <si>
    <t>Realized gains</t>
  </si>
  <si>
    <t>Realized losses</t>
  </si>
  <si>
    <t>Investment expenses</t>
  </si>
  <si>
    <t>Net investment income (Unit-linked) - Unrealized gain/losses</t>
  </si>
  <si>
    <t>Claims expenses/ benefits</t>
  </si>
  <si>
    <t>Change in outstanding claims reserve (Life and Non-Life)</t>
  </si>
  <si>
    <t>Change in IBNR reserve (Life and Non-Life)</t>
  </si>
  <si>
    <t>Change in Loss adjustment expenses reserve (Life and Non-Life)</t>
  </si>
  <si>
    <t>Change in technical reserves (on gross basis)</t>
  </si>
  <si>
    <t>Table 14.6 - Equity, premiums, solvency by company category in 2007</t>
  </si>
  <si>
    <t>Company category</t>
  </si>
  <si>
    <t>&gt; 20 million Equity</t>
  </si>
  <si>
    <t>Number of companies</t>
  </si>
  <si>
    <t>Total equity USD</t>
  </si>
  <si>
    <t>Total premiums USD</t>
  </si>
  <si>
    <t>Solvency %</t>
  </si>
  <si>
    <t>10-20 million equity</t>
  </si>
  <si>
    <t>5-10 million equity</t>
  </si>
  <si>
    <t>1.5-5 million equity</t>
  </si>
  <si>
    <t>&lt; 1.5 million equity</t>
  </si>
  <si>
    <t>Table 14.7 - Premiums and administrative expenses per employee by company group in 2007</t>
  </si>
  <si>
    <t>Company group</t>
  </si>
  <si>
    <t>Administration expenses USD</t>
  </si>
  <si>
    <t>Administratif costs/employee</t>
  </si>
  <si>
    <t>1st 10 largest employees</t>
  </si>
  <si>
    <t>2ndt 10 largest employees</t>
  </si>
  <si>
    <t>3rd 10 largest employees</t>
  </si>
  <si>
    <t>4th 10 largest employees</t>
  </si>
  <si>
    <t>Remaining 14 companies</t>
  </si>
  <si>
    <t>Table 14.8 - Ratio analysis and averages</t>
  </si>
  <si>
    <t>Ratio</t>
  </si>
  <si>
    <t>Table 14.9 - Changes since 2001</t>
  </si>
  <si>
    <t>Change %</t>
  </si>
  <si>
    <t>Table 14.12 - Life and unit-linked portfolio distribution in 2007</t>
  </si>
  <si>
    <t>Companies rank</t>
  </si>
  <si>
    <t>Premiums USD</t>
  </si>
  <si>
    <t>Share of premiums</t>
  </si>
  <si>
    <t>Claims USD</t>
  </si>
  <si>
    <t>Share of claims</t>
  </si>
  <si>
    <t>Top 10 companies</t>
  </si>
  <si>
    <t>2nd Top 10 companies</t>
  </si>
  <si>
    <t>Remaining 15 companies</t>
  </si>
  <si>
    <t>All 35 companies</t>
  </si>
  <si>
    <t>3rd top 10 companies</t>
  </si>
  <si>
    <t>Remaining 19 companies</t>
  </si>
  <si>
    <t>All 49 companies</t>
  </si>
  <si>
    <t>Table 14.13 - Non-life portfolio distribution in 2007</t>
  </si>
  <si>
    <t>Table 14.14 - Total insurance portfolio distribution in 2007</t>
  </si>
  <si>
    <t>Number of policies</t>
  </si>
  <si>
    <t>Average premium/police (USD)</t>
  </si>
  <si>
    <t>Number of claims</t>
  </si>
  <si>
    <t>Average claim/claim (USD)</t>
  </si>
  <si>
    <t>Remaining 24 companie</t>
  </si>
  <si>
    <t>All 54 companies</t>
  </si>
  <si>
    <t>Table 14.15 - Life premiums and claims distribution in 2007</t>
  </si>
  <si>
    <t>Top 3 companies</t>
  </si>
  <si>
    <t>Remaining 4 companies</t>
  </si>
  <si>
    <t>Remaining 23 companies</t>
  </si>
  <si>
    <t>Table 14.17 - Fire premiums and claims distribution in 2007</t>
  </si>
  <si>
    <t>Table 14.18 - Transportation premiums and claims distribution in 2007</t>
  </si>
  <si>
    <t>Table 14.19 - Motor compulsory premiums and claims distribution in 2007</t>
  </si>
  <si>
    <t>Remaining 13 companies</t>
  </si>
  <si>
    <t xml:space="preserve">Table 14.20 - Non-motor compulsory premiums and claims distribution in 2007 </t>
  </si>
  <si>
    <t xml:space="preserve">Source: Ministry of Economy and Trade </t>
  </si>
  <si>
    <t>Table 14.21 - Medical premiums and claims distribution in 2007</t>
  </si>
  <si>
    <t>Remaining 36 companies</t>
  </si>
  <si>
    <t>Table 14.22 - Accidents premiums and claims distribution in 2007</t>
  </si>
  <si>
    <t>Table 14.23 - Civil liability premiums and claims distribution in 2007</t>
  </si>
  <si>
    <t>Table 14.24 - Engineering premiums and claims distribution in 2007</t>
  </si>
  <si>
    <t>2nd Top 5 companies</t>
  </si>
  <si>
    <t>3rd top 5 companies</t>
  </si>
  <si>
    <t>Remaining 11 companies</t>
  </si>
  <si>
    <t>Table 14.25 - Miscellaneous premiums and claims distribution in 2007</t>
  </si>
  <si>
    <t>Table 14.26 - Credit premiums and claims distribution in 2007</t>
  </si>
  <si>
    <t>Remaining 6 companies</t>
  </si>
  <si>
    <t>Table 14.16 - Unit-linked premiums and claims distribution in 2007</t>
  </si>
  <si>
    <t>Table 14.27 - Taxation on insurance by branch - Bases, rates and estimated amounts in USD in 2007</t>
  </si>
  <si>
    <t>Branch 1</t>
  </si>
  <si>
    <t>Branch 2</t>
  </si>
  <si>
    <t>Branch 4 (Accidents)</t>
  </si>
  <si>
    <t>Medical</t>
  </si>
  <si>
    <t>Motors + others</t>
  </si>
  <si>
    <t>Branch 3</t>
  </si>
  <si>
    <t>Marine</t>
  </si>
  <si>
    <t>Branch 5</t>
  </si>
  <si>
    <t>Credits</t>
  </si>
  <si>
    <t>Based on gross written premiums</t>
  </si>
  <si>
    <t>Proportional stamps</t>
  </si>
  <si>
    <t>Municipal tax</t>
  </si>
  <si>
    <t>Income tax (15% of)</t>
  </si>
  <si>
    <t>ICC Audit fees</t>
  </si>
  <si>
    <t>Total % on gross written premiums</t>
  </si>
  <si>
    <t>Gross written premiums 2007</t>
  </si>
  <si>
    <t>Paid on gross written premiums 2007</t>
  </si>
  <si>
    <t>Based on ceded premiums</t>
  </si>
  <si>
    <t>Income tax (15% of 15%)</t>
  </si>
  <si>
    <t>Premiums ceded (foreign) in 2007</t>
  </si>
  <si>
    <t>Paid on ceded premiums 2007</t>
  </si>
  <si>
    <t>Fixed stamps</t>
  </si>
  <si>
    <t>LBP 2000 per policy</t>
  </si>
  <si>
    <t>1.33/pol.</t>
  </si>
  <si>
    <t>Number of policies 2007 (approx)</t>
  </si>
  <si>
    <t>Fixed stamps amount 2007 (approx)</t>
  </si>
  <si>
    <t>Total taxes and stamps imposed 2007</t>
  </si>
  <si>
    <t>% of gross written premiums 2007</t>
  </si>
  <si>
    <t>All licensed companies (any branch)</t>
  </si>
  <si>
    <t>Total net profits</t>
  </si>
  <si>
    <t>Total liabilities</t>
  </si>
  <si>
    <t>Transport</t>
  </si>
  <si>
    <t>Table 14.5 - Consolidated Income Statement for the Insurance Sector on 31/12/2007 - Cont.1</t>
  </si>
  <si>
    <t>Table 14.5 - Consolidated Income Statement for the Insurance Sector on 31/12/2007 - Cont.2</t>
  </si>
  <si>
    <t>Written premiums</t>
  </si>
  <si>
    <t>Number of employees</t>
  </si>
  <si>
    <t>Premiums USD/employee</t>
  </si>
  <si>
    <t>Top 5 companies</t>
  </si>
  <si>
    <t>Remaining 24 companies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</si>
</sst>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0_);\(0.00\)"/>
    <numFmt numFmtId="213" formatCode="[$-3001]dd\ mmmm\,\ yyyy"/>
    <numFmt numFmtId="214" formatCode="[$-3001]hh:mm:ss\ AM/PM"/>
    <numFmt numFmtId="215" formatCode="_(* #,##0.0_);_(* \(#,##0.0\);_(* &quot;-&quot;_);_(@_)"/>
  </numFmts>
  <fonts count="55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7" fillId="0" borderId="0" xfId="0" applyFont="1" applyFill="1" applyAlignment="1">
      <alignment vertical="center" readingOrder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3" fontId="9" fillId="0" borderId="12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7" fontId="11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7" fontId="6" fillId="0" borderId="11" xfId="0" applyNumberFormat="1" applyFont="1" applyFill="1" applyBorder="1" applyAlignment="1" applyProtection="1">
      <alignment vertical="center" wrapText="1"/>
      <protection locked="0"/>
    </xf>
    <xf numFmtId="37" fontId="6" fillId="0" borderId="12" xfId="0" applyNumberFormat="1" applyFont="1" applyFill="1" applyBorder="1" applyAlignment="1" applyProtection="1">
      <alignment vertical="center" wrapText="1"/>
      <protection locked="0"/>
    </xf>
    <xf numFmtId="37" fontId="11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>
      <alignment vertical="center"/>
    </xf>
    <xf numFmtId="37" fontId="6" fillId="0" borderId="13" xfId="0" applyNumberFormat="1" applyFont="1" applyFill="1" applyBorder="1" applyAlignment="1" applyProtection="1">
      <alignment vertical="center" wrapText="1"/>
      <protection locked="0"/>
    </xf>
    <xf numFmtId="37" fontId="6" fillId="0" borderId="10" xfId="0" applyNumberFormat="1" applyFont="1" applyFill="1" applyBorder="1" applyAlignment="1" applyProtection="1">
      <alignment vertical="center" wrapText="1"/>
      <protection locked="0"/>
    </xf>
    <xf numFmtId="37" fontId="11" fillId="0" borderId="10" xfId="42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91" fontId="0" fillId="0" borderId="0" xfId="42" applyNumberFormat="1" applyFont="1" applyFill="1" applyAlignment="1">
      <alignment vertical="center"/>
    </xf>
    <xf numFmtId="43" fontId="0" fillId="0" borderId="0" xfId="0" applyNumberFormat="1" applyFill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37" fontId="12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7" fontId="9" fillId="0" borderId="11" xfId="0" applyNumberFormat="1" applyFont="1" applyFill="1" applyBorder="1" applyAlignment="1">
      <alignment vertical="center"/>
    </xf>
    <xf numFmtId="37" fontId="9" fillId="0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37" fontId="9" fillId="0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91" fontId="15" fillId="0" borderId="0" xfId="0" applyNumberFormat="1" applyFont="1" applyFill="1" applyAlignment="1">
      <alignment vertical="center"/>
    </xf>
    <xf numFmtId="0" fontId="13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7" fontId="12" fillId="0" borderId="10" xfId="0" applyNumberFormat="1" applyFont="1" applyFill="1" applyBorder="1" applyAlignment="1" applyProtection="1">
      <alignment horizontal="center" vertical="center" wrapText="1"/>
      <protection/>
    </xf>
    <xf numFmtId="37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37" fontId="19" fillId="0" borderId="0" xfId="0" applyNumberFormat="1" applyFont="1" applyFill="1" applyBorder="1" applyAlignment="1">
      <alignment vertical="center"/>
    </xf>
    <xf numFmtId="37" fontId="2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37" fontId="12" fillId="0" borderId="16" xfId="0" applyNumberFormat="1" applyFont="1" applyFill="1" applyBorder="1" applyAlignment="1" applyProtection="1">
      <alignment horizontal="center" vertical="center" wrapText="1"/>
      <protection/>
    </xf>
    <xf numFmtId="37" fontId="20" fillId="0" borderId="16" xfId="0" applyNumberFormat="1" applyFont="1" applyFill="1" applyBorder="1" applyAlignment="1" applyProtection="1">
      <alignment horizontal="center" vertical="center" wrapText="1"/>
      <protection/>
    </xf>
    <xf numFmtId="37" fontId="19" fillId="0" borderId="10" xfId="0" applyNumberFormat="1" applyFont="1" applyFill="1" applyBorder="1" applyAlignment="1">
      <alignment vertical="center"/>
    </xf>
    <xf numFmtId="37" fontId="20" fillId="0" borderId="10" xfId="0" applyNumberFormat="1" applyFont="1" applyFill="1" applyBorder="1" applyAlignment="1">
      <alignment vertical="center"/>
    </xf>
    <xf numFmtId="37" fontId="19" fillId="0" borderId="11" xfId="0" applyNumberFormat="1" applyFont="1" applyFill="1" applyBorder="1" applyAlignment="1">
      <alignment vertical="center"/>
    </xf>
    <xf numFmtId="37" fontId="20" fillId="0" borderId="11" xfId="0" applyNumberFormat="1" applyFont="1" applyFill="1" applyBorder="1" applyAlignment="1">
      <alignment vertical="center"/>
    </xf>
    <xf numFmtId="37" fontId="19" fillId="0" borderId="12" xfId="0" applyNumberFormat="1" applyFont="1" applyFill="1" applyBorder="1" applyAlignment="1">
      <alignment vertical="center"/>
    </xf>
    <xf numFmtId="37" fontId="20" fillId="0" borderId="12" xfId="0" applyNumberFormat="1" applyFont="1" applyFill="1" applyBorder="1" applyAlignment="1">
      <alignment vertical="center"/>
    </xf>
    <xf numFmtId="37" fontId="19" fillId="0" borderId="13" xfId="0" applyNumberFormat="1" applyFont="1" applyFill="1" applyBorder="1" applyAlignment="1">
      <alignment vertical="center"/>
    </xf>
    <xf numFmtId="37" fontId="20" fillId="0" borderId="1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readingOrder="1"/>
    </xf>
    <xf numFmtId="0" fontId="11" fillId="0" borderId="0" xfId="0" applyFont="1" applyFill="1" applyBorder="1" applyAlignment="1" quotePrefix="1">
      <alignment horizontal="left" vertical="center"/>
    </xf>
    <xf numFmtId="37" fontId="19" fillId="0" borderId="14" xfId="0" applyNumberFormat="1" applyFont="1" applyFill="1" applyBorder="1" applyAlignment="1">
      <alignment vertical="center"/>
    </xf>
    <xf numFmtId="37" fontId="20" fillId="0" borderId="14" xfId="0" applyNumberFormat="1" applyFont="1" applyFill="1" applyBorder="1" applyAlignment="1">
      <alignment vertical="center"/>
    </xf>
    <xf numFmtId="37" fontId="19" fillId="0" borderId="15" xfId="0" applyNumberFormat="1" applyFont="1" applyFill="1" applyBorder="1" applyAlignment="1">
      <alignment vertical="center"/>
    </xf>
    <xf numFmtId="37" fontId="20" fillId="0" borderId="15" xfId="0" applyNumberFormat="1" applyFont="1" applyFill="1" applyBorder="1" applyAlignment="1">
      <alignment vertical="center"/>
    </xf>
    <xf numFmtId="3" fontId="19" fillId="0" borderId="12" xfId="0" applyNumberFormat="1" applyFont="1" applyFill="1" applyBorder="1" applyAlignment="1">
      <alignment horizontal="right" vertical="center"/>
    </xf>
    <xf numFmtId="3" fontId="19" fillId="0" borderId="12" xfId="0" applyNumberFormat="1" applyFont="1" applyFill="1" applyBorder="1" applyAlignment="1">
      <alignment vertical="center"/>
    </xf>
    <xf numFmtId="3" fontId="20" fillId="0" borderId="12" xfId="0" applyNumberFormat="1" applyFont="1" applyFill="1" applyBorder="1" applyAlignment="1">
      <alignment vertical="center"/>
    </xf>
    <xf numFmtId="9" fontId="19" fillId="0" borderId="12" xfId="60" applyFont="1" applyFill="1" applyBorder="1" applyAlignment="1">
      <alignment vertical="center"/>
    </xf>
    <xf numFmtId="9" fontId="20" fillId="0" borderId="12" xfId="60" applyFont="1" applyFill="1" applyBorder="1" applyAlignment="1">
      <alignment vertical="center"/>
    </xf>
    <xf numFmtId="9" fontId="19" fillId="0" borderId="13" xfId="60" applyFont="1" applyFill="1" applyBorder="1" applyAlignment="1">
      <alignment vertical="center"/>
    </xf>
    <xf numFmtId="9" fontId="20" fillId="0" borderId="13" xfId="60" applyFont="1" applyFill="1" applyBorder="1" applyAlignment="1">
      <alignment vertical="center"/>
    </xf>
    <xf numFmtId="3" fontId="19" fillId="0" borderId="14" xfId="0" applyNumberFormat="1" applyFont="1" applyFill="1" applyBorder="1" applyAlignment="1">
      <alignment horizontal="right" vertical="center"/>
    </xf>
    <xf numFmtId="3" fontId="19" fillId="0" borderId="14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 horizontal="right" vertical="center"/>
    </xf>
    <xf numFmtId="3" fontId="19" fillId="0" borderId="15" xfId="0" applyNumberFormat="1" applyFont="1" applyFill="1" applyBorder="1" applyAlignment="1">
      <alignment vertical="center"/>
    </xf>
    <xf numFmtId="3" fontId="20" fillId="0" borderId="15" xfId="0" applyNumberFormat="1" applyFont="1" applyFill="1" applyBorder="1" applyAlignment="1">
      <alignment horizontal="right" vertical="center"/>
    </xf>
    <xf numFmtId="9" fontId="19" fillId="0" borderId="15" xfId="60" applyFont="1" applyFill="1" applyBorder="1" applyAlignment="1">
      <alignment vertical="center"/>
    </xf>
    <xf numFmtId="9" fontId="20" fillId="0" borderId="15" xfId="6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9" fontId="9" fillId="0" borderId="12" xfId="6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9" fontId="9" fillId="0" borderId="14" xfId="6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9" fontId="9" fillId="0" borderId="15" xfId="6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9" fontId="12" fillId="0" borderId="10" xfId="60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horizontal="right" vertical="center"/>
    </xf>
    <xf numFmtId="2" fontId="9" fillId="0" borderId="12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9" fontId="9" fillId="0" borderId="13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9" fontId="12" fillId="0" borderId="13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9" fontId="12" fillId="0" borderId="17" xfId="0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 vertical="center"/>
    </xf>
    <xf numFmtId="9" fontId="19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9" fontId="19" fillId="0" borderId="14" xfId="0" applyNumberFormat="1" applyFont="1" applyFill="1" applyBorder="1" applyAlignment="1">
      <alignment vertical="center"/>
    </xf>
    <xf numFmtId="3" fontId="20" fillId="0" borderId="11" xfId="0" applyNumberFormat="1" applyFont="1" applyFill="1" applyBorder="1" applyAlignment="1">
      <alignment vertical="center"/>
    </xf>
    <xf numFmtId="9" fontId="20" fillId="0" borderId="13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9" fontId="20" fillId="0" borderId="1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10" fontId="9" fillId="0" borderId="12" xfId="60" applyNumberFormat="1" applyFont="1" applyFill="1" applyBorder="1" applyAlignment="1">
      <alignment vertical="center"/>
    </xf>
    <xf numFmtId="10" fontId="9" fillId="0" borderId="14" xfId="60" applyNumberFormat="1" applyFont="1" applyFill="1" applyBorder="1" applyAlignment="1">
      <alignment vertical="center"/>
    </xf>
    <xf numFmtId="10" fontId="9" fillId="0" borderId="15" xfId="60" applyNumberFormat="1" applyFont="1" applyFill="1" applyBorder="1" applyAlignment="1">
      <alignment vertical="center"/>
    </xf>
    <xf numFmtId="10" fontId="12" fillId="0" borderId="10" xfId="60" applyNumberFormat="1" applyFont="1" applyFill="1" applyBorder="1" applyAlignment="1">
      <alignment vertical="center"/>
    </xf>
    <xf numFmtId="9" fontId="9" fillId="0" borderId="12" xfId="60" applyNumberFormat="1" applyFont="1" applyFill="1" applyBorder="1" applyAlignment="1">
      <alignment vertical="center"/>
    </xf>
    <xf numFmtId="9" fontId="9" fillId="0" borderId="14" xfId="60" applyNumberFormat="1" applyFont="1" applyFill="1" applyBorder="1" applyAlignment="1">
      <alignment vertical="center"/>
    </xf>
    <xf numFmtId="9" fontId="9" fillId="0" borderId="15" xfId="60" applyNumberFormat="1" applyFont="1" applyFill="1" applyBorder="1" applyAlignment="1">
      <alignment vertical="center"/>
    </xf>
    <xf numFmtId="9" fontId="12" fillId="0" borderId="10" xfId="60" applyNumberFormat="1" applyFont="1" applyFill="1" applyBorder="1" applyAlignment="1">
      <alignment vertical="center"/>
    </xf>
    <xf numFmtId="3" fontId="9" fillId="0" borderId="12" xfId="6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/>
    </xf>
    <xf numFmtId="3" fontId="9" fillId="0" borderId="14" xfId="6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/>
    </xf>
    <xf numFmtId="3" fontId="9" fillId="0" borderId="15" xfId="60" applyNumberFormat="1" applyFont="1" applyFill="1" applyBorder="1" applyAlignment="1">
      <alignment vertical="center"/>
    </xf>
    <xf numFmtId="1" fontId="9" fillId="0" borderId="15" xfId="0" applyNumberFormat="1" applyFont="1" applyFill="1" applyBorder="1" applyAlignment="1">
      <alignment/>
    </xf>
    <xf numFmtId="3" fontId="12" fillId="0" borderId="10" xfId="60" applyNumberFormat="1" applyFont="1" applyFill="1" applyBorder="1" applyAlignment="1">
      <alignment vertical="center"/>
    </xf>
    <xf numFmtId="1" fontId="12" fillId="0" borderId="10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 vertical="center"/>
    </xf>
    <xf numFmtId="3" fontId="9" fillId="0" borderId="18" xfId="60" applyNumberFormat="1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vertical="center"/>
    </xf>
    <xf numFmtId="3" fontId="9" fillId="0" borderId="19" xfId="6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3" fontId="9" fillId="0" borderId="11" xfId="6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/>
    </xf>
    <xf numFmtId="0" fontId="5" fillId="0" borderId="13" xfId="0" applyFont="1" applyFill="1" applyBorder="1" applyAlignment="1">
      <alignment vertical="center" wrapText="1"/>
    </xf>
    <xf numFmtId="3" fontId="9" fillId="0" borderId="13" xfId="6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4" fontId="9" fillId="0" borderId="13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9" fontId="9" fillId="0" borderId="11" xfId="60" applyFont="1" applyFill="1" applyBorder="1" applyAlignment="1">
      <alignment horizontal="right" vertical="center"/>
    </xf>
    <xf numFmtId="9" fontId="9" fillId="0" borderId="12" xfId="60" applyFont="1" applyFill="1" applyBorder="1" applyAlignment="1">
      <alignment horizontal="right" vertical="center"/>
    </xf>
    <xf numFmtId="10" fontId="12" fillId="0" borderId="12" xfId="60" applyNumberFormat="1" applyFont="1" applyFill="1" applyBorder="1" applyAlignment="1">
      <alignment horizontal="right" vertical="center"/>
    </xf>
    <xf numFmtId="185" fontId="9" fillId="0" borderId="13" xfId="60" applyNumberFormat="1" applyFont="1" applyFill="1" applyBorder="1" applyAlignment="1">
      <alignment horizontal="right" vertical="center"/>
    </xf>
    <xf numFmtId="10" fontId="12" fillId="0" borderId="10" xfId="0" applyNumberFormat="1" applyFont="1" applyFill="1" applyBorder="1" applyAlignment="1">
      <alignment horizontal="right" vertical="center"/>
    </xf>
    <xf numFmtId="10" fontId="12" fillId="0" borderId="10" xfId="6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10" fontId="9" fillId="0" borderId="11" xfId="6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horizontal="right" vertical="center"/>
    </xf>
    <xf numFmtId="10" fontId="12" fillId="0" borderId="13" xfId="60" applyNumberFormat="1" applyFont="1" applyFill="1" applyBorder="1" applyAlignment="1">
      <alignment horizontal="right" vertical="center"/>
    </xf>
    <xf numFmtId="0" fontId="10" fillId="0" borderId="20" xfId="0" applyFont="1" applyBorder="1" applyAlignment="1">
      <alignment horizontal="center" vertical="center" readingOrder="1"/>
    </xf>
    <xf numFmtId="0" fontId="10" fillId="0" borderId="10" xfId="0" applyFont="1" applyBorder="1" applyAlignment="1">
      <alignment horizontal="center" vertical="center" readingOrder="1"/>
    </xf>
    <xf numFmtId="0" fontId="10" fillId="0" borderId="21" xfId="0" applyFont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37" fontId="12" fillId="0" borderId="10" xfId="0" applyNumberFormat="1" applyFont="1" applyFill="1" applyBorder="1" applyAlignment="1" applyProtection="1">
      <alignment horizontal="center" vertical="center" wrapText="1"/>
      <protection/>
    </xf>
    <xf numFmtId="37" fontId="12" fillId="0" borderId="10" xfId="0" applyNumberFormat="1" applyFont="1" applyFill="1" applyBorder="1" applyAlignment="1" applyProtection="1">
      <alignment horizontal="center" vertical="center"/>
      <protection/>
    </xf>
    <xf numFmtId="37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9" fontId="9" fillId="33" borderId="11" xfId="60" applyFont="1" applyFill="1" applyBorder="1" applyAlignment="1">
      <alignment horizontal="center" vertical="center"/>
    </xf>
    <xf numFmtId="9" fontId="9" fillId="33" borderId="12" xfId="60" applyFont="1" applyFill="1" applyBorder="1" applyAlignment="1">
      <alignment horizontal="center" vertical="center"/>
    </xf>
    <xf numFmtId="9" fontId="9" fillId="33" borderId="13" xfId="6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sheetData>
    <row r="1" spans="1:11" ht="26.25" thickBot="1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4"/>
    </row>
  </sheetData>
  <sheetProtection/>
  <mergeCells count="1">
    <mergeCell ref="A1:K1"/>
  </mergeCells>
  <printOptions horizontalCentered="1" verticalCentered="1"/>
  <pageMargins left="0" right="0" top="0.5" bottom="0.5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G13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8.28125" style="12" customWidth="1"/>
    <col min="2" max="4" width="15.7109375" style="12" customWidth="1"/>
    <col min="5" max="5" width="18.8515625" style="12" customWidth="1"/>
    <col min="6" max="7" width="15.7109375" style="12" customWidth="1"/>
    <col min="8" max="16384" width="9.140625" style="12" customWidth="1"/>
  </cols>
  <sheetData>
    <row r="1" s="6" customFormat="1" ht="19.5" customHeight="1">
      <c r="A1" s="1" t="s">
        <v>316</v>
      </c>
    </row>
    <row r="2" s="6" customFormat="1" ht="12.75" customHeight="1">
      <c r="A2" s="6" t="s">
        <v>140</v>
      </c>
    </row>
    <row r="3" ht="6.75" customHeight="1" thickBot="1"/>
    <row r="4" spans="1:5" ht="13.5" customHeight="1" thickBot="1">
      <c r="A4" s="8" t="s">
        <v>317</v>
      </c>
      <c r="B4" s="8" t="s">
        <v>318</v>
      </c>
      <c r="C4" s="8" t="s">
        <v>319</v>
      </c>
      <c r="D4" s="8" t="s">
        <v>320</v>
      </c>
      <c r="E4" s="8" t="s">
        <v>321</v>
      </c>
    </row>
    <row r="5" spans="1:5" ht="12.75">
      <c r="A5" s="32" t="s">
        <v>322</v>
      </c>
      <c r="B5" s="154">
        <v>245821401</v>
      </c>
      <c r="C5" s="155">
        <v>0.9</v>
      </c>
      <c r="D5" s="154">
        <v>52615466</v>
      </c>
      <c r="E5" s="181">
        <v>0.88</v>
      </c>
    </row>
    <row r="6" spans="1:5" ht="12.75">
      <c r="A6" s="15" t="s">
        <v>323</v>
      </c>
      <c r="B6" s="38">
        <v>20698561</v>
      </c>
      <c r="C6" s="150">
        <v>0.08</v>
      </c>
      <c r="D6" s="38">
        <v>5477037</v>
      </c>
      <c r="E6" s="179">
        <v>0.09</v>
      </c>
    </row>
    <row r="7" spans="1:5" ht="13.5" thickBot="1">
      <c r="A7" s="33" t="s">
        <v>324</v>
      </c>
      <c r="B7" s="39">
        <v>6405354</v>
      </c>
      <c r="C7" s="152">
        <v>0.02</v>
      </c>
      <c r="D7" s="39">
        <v>1731216</v>
      </c>
      <c r="E7" s="180">
        <v>0.03</v>
      </c>
    </row>
    <row r="8" spans="1:5" ht="13.5" thickBot="1">
      <c r="A8" s="8" t="s">
        <v>325</v>
      </c>
      <c r="B8" s="28">
        <f>SUM(B5:B7)</f>
        <v>272925316</v>
      </c>
      <c r="C8" s="157">
        <f>SUM(C5:C7)</f>
        <v>1</v>
      </c>
      <c r="D8" s="28">
        <f>SUM(D5:D7)</f>
        <v>59823719</v>
      </c>
      <c r="E8" s="182">
        <v>1</v>
      </c>
    </row>
    <row r="10" spans="1:5" ht="19.5" customHeight="1">
      <c r="A10" s="1" t="s">
        <v>329</v>
      </c>
      <c r="B10" s="6"/>
      <c r="C10" s="6"/>
      <c r="D10" s="6"/>
      <c r="E10" s="6"/>
    </row>
    <row r="11" spans="1:5" ht="12.75" customHeight="1">
      <c r="A11" s="6" t="s">
        <v>140</v>
      </c>
      <c r="B11" s="6"/>
      <c r="C11" s="6"/>
      <c r="D11" s="6"/>
      <c r="E11" s="6"/>
    </row>
    <row r="12" ht="6.75" customHeight="1" thickBot="1"/>
    <row r="13" spans="1:5" ht="13.5" customHeight="1" thickBot="1">
      <c r="A13" s="8" t="s">
        <v>317</v>
      </c>
      <c r="B13" s="8" t="s">
        <v>328</v>
      </c>
      <c r="C13" s="8" t="s">
        <v>319</v>
      </c>
      <c r="D13" s="8" t="s">
        <v>320</v>
      </c>
      <c r="E13" s="8" t="s">
        <v>321</v>
      </c>
    </row>
    <row r="14" spans="1:5" ht="12.75">
      <c r="A14" s="32" t="s">
        <v>322</v>
      </c>
      <c r="B14" s="154">
        <v>309596846</v>
      </c>
      <c r="C14" s="155">
        <v>0.6151</v>
      </c>
      <c r="D14" s="154">
        <v>176919351</v>
      </c>
      <c r="E14" s="185">
        <v>0.6796</v>
      </c>
    </row>
    <row r="15" spans="1:5" ht="12.75">
      <c r="A15" s="15" t="s">
        <v>323</v>
      </c>
      <c r="B15" s="38">
        <v>115584139</v>
      </c>
      <c r="C15" s="150">
        <v>0.2296</v>
      </c>
      <c r="D15" s="38">
        <v>53964387</v>
      </c>
      <c r="E15" s="183">
        <v>0.2073</v>
      </c>
    </row>
    <row r="16" spans="1:5" ht="12.75">
      <c r="A16" s="15" t="s">
        <v>326</v>
      </c>
      <c r="B16" s="38">
        <v>53730357</v>
      </c>
      <c r="C16" s="150">
        <v>0.1067</v>
      </c>
      <c r="D16" s="38">
        <v>19930334</v>
      </c>
      <c r="E16" s="183">
        <v>0.0766</v>
      </c>
    </row>
    <row r="17" spans="1:5" ht="13.5" thickBot="1">
      <c r="A17" s="33" t="s">
        <v>327</v>
      </c>
      <c r="B17" s="39">
        <v>24418063</v>
      </c>
      <c r="C17" s="152">
        <v>0.0485</v>
      </c>
      <c r="D17" s="39">
        <v>9497992</v>
      </c>
      <c r="E17" s="184">
        <v>0.0365</v>
      </c>
    </row>
    <row r="18" spans="1:5" ht="13.5" thickBot="1">
      <c r="A18" s="8" t="s">
        <v>328</v>
      </c>
      <c r="B18" s="28">
        <f>SUM(B14:B17)</f>
        <v>503329405</v>
      </c>
      <c r="C18" s="157">
        <f>SUM(C14:C17)</f>
        <v>0.9999</v>
      </c>
      <c r="D18" s="28">
        <f>SUM(D14:D17)</f>
        <v>260312064</v>
      </c>
      <c r="E18" s="186">
        <f>SUM(E14:E17)</f>
        <v>1</v>
      </c>
    </row>
    <row r="20" spans="1:5" ht="19.5" customHeight="1">
      <c r="A20" s="1" t="s">
        <v>330</v>
      </c>
      <c r="B20" s="6"/>
      <c r="C20" s="6"/>
      <c r="D20" s="6"/>
      <c r="E20" s="6"/>
    </row>
    <row r="21" spans="1:5" ht="12.75" customHeight="1">
      <c r="A21" s="6" t="s">
        <v>140</v>
      </c>
      <c r="B21" s="6"/>
      <c r="C21" s="6"/>
      <c r="D21" s="6"/>
      <c r="E21" s="6"/>
    </row>
    <row r="22" ht="6.75" customHeight="1" thickBot="1"/>
    <row r="23" spans="1:7" ht="26.25" thickBot="1">
      <c r="A23" s="8" t="s">
        <v>317</v>
      </c>
      <c r="B23" s="8" t="s">
        <v>328</v>
      </c>
      <c r="C23" s="8" t="s">
        <v>320</v>
      </c>
      <c r="D23" s="8" t="s">
        <v>331</v>
      </c>
      <c r="E23" s="8" t="s">
        <v>332</v>
      </c>
      <c r="F23" s="8" t="s">
        <v>333</v>
      </c>
      <c r="G23" s="8" t="s">
        <v>334</v>
      </c>
    </row>
    <row r="24" spans="1:7" ht="12.75">
      <c r="A24" s="32" t="s">
        <v>322</v>
      </c>
      <c r="B24" s="154">
        <v>517929058</v>
      </c>
      <c r="C24" s="191">
        <v>202627535</v>
      </c>
      <c r="D24" s="154">
        <v>996456</v>
      </c>
      <c r="E24" s="154">
        <f>B24/D24</f>
        <v>519.7711268736401</v>
      </c>
      <c r="F24" s="154">
        <v>582435</v>
      </c>
      <c r="G24" s="192">
        <f>C24/F24</f>
        <v>347.8972503369475</v>
      </c>
    </row>
    <row r="25" spans="1:7" ht="12.75">
      <c r="A25" s="15" t="s">
        <v>323</v>
      </c>
      <c r="B25" s="38">
        <v>152274468</v>
      </c>
      <c r="C25" s="187">
        <v>76168496</v>
      </c>
      <c r="D25" s="38">
        <v>538268</v>
      </c>
      <c r="E25" s="38">
        <f>B25/D25</f>
        <v>282.89712187980706</v>
      </c>
      <c r="F25" s="38">
        <v>209226</v>
      </c>
      <c r="G25" s="188">
        <f>C25/F25</f>
        <v>364.0489040559013</v>
      </c>
    </row>
    <row r="26" spans="1:7" ht="12.75">
      <c r="A26" s="15" t="s">
        <v>326</v>
      </c>
      <c r="B26" s="38">
        <v>69860800</v>
      </c>
      <c r="C26" s="187">
        <v>27674832</v>
      </c>
      <c r="D26" s="38">
        <v>252182</v>
      </c>
      <c r="E26" s="38">
        <f>B26/D26</f>
        <v>277.02532298102165</v>
      </c>
      <c r="F26" s="38">
        <v>74636</v>
      </c>
      <c r="G26" s="188">
        <f>C26/F26</f>
        <v>370.797363202744</v>
      </c>
    </row>
    <row r="27" spans="1:7" ht="13.5" thickBot="1">
      <c r="A27" s="33" t="s">
        <v>335</v>
      </c>
      <c r="B27" s="39">
        <v>36190396</v>
      </c>
      <c r="C27" s="189">
        <v>13664920</v>
      </c>
      <c r="D27" s="39">
        <v>233747</v>
      </c>
      <c r="E27" s="39">
        <f>B27/D27</f>
        <v>154.82721061660683</v>
      </c>
      <c r="F27" s="39">
        <v>81459</v>
      </c>
      <c r="G27" s="190">
        <f>C27/F27</f>
        <v>167.75212069875644</v>
      </c>
    </row>
    <row r="28" spans="1:7" ht="13.5" thickBot="1">
      <c r="A28" s="8" t="s">
        <v>336</v>
      </c>
      <c r="B28" s="28">
        <f>SUM(B24:B27)</f>
        <v>776254722</v>
      </c>
      <c r="C28" s="193">
        <f>SUM(C24:C27)</f>
        <v>320135783</v>
      </c>
      <c r="D28" s="28">
        <f>SUM(D24:D27)</f>
        <v>2020653</v>
      </c>
      <c r="E28" s="164">
        <f>B28/D28</f>
        <v>384.1603293588756</v>
      </c>
      <c r="F28" s="28">
        <f>SUM(F24:F27)</f>
        <v>947756</v>
      </c>
      <c r="G28" s="194">
        <f>C28/F28</f>
        <v>337.78291353470723</v>
      </c>
    </row>
    <row r="30" ht="19.5" customHeight="1">
      <c r="A30" s="1" t="s">
        <v>337</v>
      </c>
    </row>
    <row r="31" ht="12.75" customHeight="1">
      <c r="A31" s="6" t="s">
        <v>140</v>
      </c>
    </row>
    <row r="32" ht="6.75" customHeight="1" thickBot="1"/>
    <row r="33" spans="1:7" ht="26.25" thickBot="1">
      <c r="A33" s="8" t="s">
        <v>317</v>
      </c>
      <c r="B33" s="8" t="s">
        <v>328</v>
      </c>
      <c r="C33" s="8" t="s">
        <v>320</v>
      </c>
      <c r="D33" s="8" t="s">
        <v>331</v>
      </c>
      <c r="E33" s="8" t="s">
        <v>332</v>
      </c>
      <c r="F33" s="8" t="s">
        <v>333</v>
      </c>
      <c r="G33" s="8" t="s">
        <v>334</v>
      </c>
    </row>
    <row r="34" spans="1:7" ht="12.75">
      <c r="A34" s="32" t="s">
        <v>322</v>
      </c>
      <c r="B34" s="154">
        <v>154844028</v>
      </c>
      <c r="C34" s="191">
        <v>31492064</v>
      </c>
      <c r="D34" s="154">
        <v>169439</v>
      </c>
      <c r="E34" s="154">
        <f>B34/D34</f>
        <v>913.8629713348166</v>
      </c>
      <c r="F34" s="154">
        <v>16029</v>
      </c>
      <c r="G34" s="197">
        <f>C34/F34</f>
        <v>1964.6929939484685</v>
      </c>
    </row>
    <row r="35" spans="1:7" ht="12.75">
      <c r="A35" s="15" t="s">
        <v>323</v>
      </c>
      <c r="B35" s="38">
        <v>19231064</v>
      </c>
      <c r="C35" s="187">
        <v>5477037</v>
      </c>
      <c r="D35" s="38">
        <v>26219</v>
      </c>
      <c r="E35" s="38">
        <f>B35/D35</f>
        <v>733.4781646897288</v>
      </c>
      <c r="F35" s="38">
        <v>807</v>
      </c>
      <c r="G35" s="195">
        <f>C35/F35</f>
        <v>6786.910780669145</v>
      </c>
    </row>
    <row r="36" spans="1:7" ht="13.5" thickBot="1">
      <c r="A36" s="33" t="s">
        <v>324</v>
      </c>
      <c r="B36" s="39">
        <v>6405354</v>
      </c>
      <c r="C36" s="189">
        <v>1731216</v>
      </c>
      <c r="D36" s="39">
        <v>30909</v>
      </c>
      <c r="E36" s="39">
        <f>B36/D36</f>
        <v>207.23265068426673</v>
      </c>
      <c r="F36" s="39">
        <v>3298</v>
      </c>
      <c r="G36" s="196">
        <f>C36/F36</f>
        <v>524.9290479078229</v>
      </c>
    </row>
    <row r="37" spans="1:7" ht="13.5" thickBot="1">
      <c r="A37" s="7" t="s">
        <v>14</v>
      </c>
      <c r="B37" s="28">
        <f>SUM(B34:B36)</f>
        <v>180480446</v>
      </c>
      <c r="C37" s="193">
        <f>SUM(C34:C36)</f>
        <v>38700317</v>
      </c>
      <c r="D37" s="28">
        <f>SUM(D34:D36)</f>
        <v>226567</v>
      </c>
      <c r="E37" s="164">
        <f>B37/D37</f>
        <v>796.5875259856907</v>
      </c>
      <c r="F37" s="28">
        <f>SUM(F34:F36)</f>
        <v>20134</v>
      </c>
      <c r="G37" s="198">
        <f>C37/F37</f>
        <v>1922.137528558657</v>
      </c>
    </row>
    <row r="40" ht="19.5" customHeight="1">
      <c r="A40" s="1" t="s">
        <v>358</v>
      </c>
    </row>
    <row r="41" ht="12.75" customHeight="1">
      <c r="A41" s="6" t="s">
        <v>140</v>
      </c>
    </row>
    <row r="42" ht="6.75" customHeight="1" thickBot="1"/>
    <row r="43" spans="1:7" ht="26.25" thickBot="1">
      <c r="A43" s="8" t="s">
        <v>317</v>
      </c>
      <c r="B43" s="8" t="s">
        <v>328</v>
      </c>
      <c r="C43" s="8" t="s">
        <v>320</v>
      </c>
      <c r="D43" s="8" t="s">
        <v>331</v>
      </c>
      <c r="E43" s="8" t="s">
        <v>332</v>
      </c>
      <c r="F43" s="8" t="s">
        <v>333</v>
      </c>
      <c r="G43" s="8" t="s">
        <v>334</v>
      </c>
    </row>
    <row r="44" spans="1:7" ht="12.75">
      <c r="A44" s="205" t="s">
        <v>338</v>
      </c>
      <c r="B44" s="199">
        <v>89291277</v>
      </c>
      <c r="C44" s="200">
        <v>21088150</v>
      </c>
      <c r="D44" s="199">
        <v>49331</v>
      </c>
      <c r="E44" s="199">
        <f>B44/D44</f>
        <v>1810.0439277533396</v>
      </c>
      <c r="F44" s="199">
        <v>1716</v>
      </c>
      <c r="G44" s="201">
        <f>C44/F44</f>
        <v>12289.131701631703</v>
      </c>
    </row>
    <row r="45" spans="1:7" ht="13.5" thickBot="1">
      <c r="A45" s="206" t="s">
        <v>339</v>
      </c>
      <c r="B45" s="202">
        <v>3153595</v>
      </c>
      <c r="C45" s="203">
        <v>35252</v>
      </c>
      <c r="D45" s="202">
        <v>4466</v>
      </c>
      <c r="E45" s="202">
        <f>B45/D45</f>
        <v>706.1341244961934</v>
      </c>
      <c r="F45" s="202">
        <v>2</v>
      </c>
      <c r="G45" s="204">
        <f>C45/F45</f>
        <v>17626</v>
      </c>
    </row>
    <row r="46" spans="1:7" ht="13.5" thickBot="1">
      <c r="A46" s="7" t="s">
        <v>14</v>
      </c>
      <c r="B46" s="28">
        <f>SUM(B44:B45)</f>
        <v>92444872</v>
      </c>
      <c r="C46" s="193">
        <f>SUM(C44:C45)</f>
        <v>21123402</v>
      </c>
      <c r="D46" s="28">
        <f>SUM(D44:D45)</f>
        <v>53797</v>
      </c>
      <c r="E46" s="164">
        <f>B46/D46</f>
        <v>1718.4019926761716</v>
      </c>
      <c r="F46" s="28">
        <f>SUM(F44:F45)</f>
        <v>1718</v>
      </c>
      <c r="G46" s="198">
        <f>C46/F46</f>
        <v>12295.344586728754</v>
      </c>
    </row>
    <row r="48" ht="19.5" customHeight="1">
      <c r="A48" s="1" t="s">
        <v>341</v>
      </c>
    </row>
    <row r="49" ht="12.75" customHeight="1">
      <c r="A49" s="6" t="s">
        <v>140</v>
      </c>
    </row>
    <row r="50" ht="6.75" customHeight="1" thickBot="1"/>
    <row r="51" spans="1:7" ht="26.25" thickBot="1">
      <c r="A51" s="8" t="s">
        <v>317</v>
      </c>
      <c r="B51" s="8" t="s">
        <v>328</v>
      </c>
      <c r="C51" s="8" t="s">
        <v>320</v>
      </c>
      <c r="D51" s="8" t="s">
        <v>331</v>
      </c>
      <c r="E51" s="8" t="s">
        <v>332</v>
      </c>
      <c r="F51" s="8" t="s">
        <v>333</v>
      </c>
      <c r="G51" s="8" t="s">
        <v>334</v>
      </c>
    </row>
    <row r="52" spans="1:7" ht="12.75">
      <c r="A52" s="14" t="s">
        <v>322</v>
      </c>
      <c r="B52" s="36">
        <v>32177766</v>
      </c>
      <c r="C52" s="208">
        <v>18170756</v>
      </c>
      <c r="D52" s="36">
        <v>133780</v>
      </c>
      <c r="E52" s="36">
        <v>1109</v>
      </c>
      <c r="F52" s="36">
        <v>1267</v>
      </c>
      <c r="G52" s="209">
        <v>24641</v>
      </c>
    </row>
    <row r="53" spans="1:7" ht="12.75">
      <c r="A53" s="15" t="s">
        <v>323</v>
      </c>
      <c r="B53" s="38">
        <v>12604843</v>
      </c>
      <c r="C53" s="187">
        <v>3219536</v>
      </c>
      <c r="D53" s="38">
        <v>22851</v>
      </c>
      <c r="E53" s="38">
        <v>1392</v>
      </c>
      <c r="F53" s="38">
        <v>350</v>
      </c>
      <c r="G53" s="195">
        <v>19729</v>
      </c>
    </row>
    <row r="54" spans="1:7" ht="13.5" thickBot="1">
      <c r="A54" s="16" t="s">
        <v>340</v>
      </c>
      <c r="B54" s="160">
        <v>5367884</v>
      </c>
      <c r="C54" s="211">
        <v>635257</v>
      </c>
      <c r="D54" s="160">
        <v>9102</v>
      </c>
      <c r="E54" s="160">
        <v>1179</v>
      </c>
      <c r="F54" s="160">
        <v>218</v>
      </c>
      <c r="G54" s="212">
        <v>5728</v>
      </c>
    </row>
    <row r="55" spans="1:7" ht="13.5" thickBot="1">
      <c r="A55" s="7" t="s">
        <v>14</v>
      </c>
      <c r="B55" s="28">
        <f>SUM(B52:B54)</f>
        <v>50150493</v>
      </c>
      <c r="C55" s="193">
        <f>SUM(C52:C54)</f>
        <v>22025549</v>
      </c>
      <c r="D55" s="28">
        <f>SUM(D52:D54)</f>
        <v>165733</v>
      </c>
      <c r="E55" s="28">
        <v>303</v>
      </c>
      <c r="F55" s="28">
        <f>SUM(F52:F54)</f>
        <v>1835</v>
      </c>
      <c r="G55" s="198">
        <f>C55/F55</f>
        <v>12003.023978201634</v>
      </c>
    </row>
    <row r="57" ht="19.5" customHeight="1">
      <c r="A57" s="1" t="s">
        <v>342</v>
      </c>
    </row>
    <row r="58" ht="12.75" customHeight="1">
      <c r="A58" s="6" t="s">
        <v>140</v>
      </c>
    </row>
    <row r="59" ht="6.75" customHeight="1" thickBot="1"/>
    <row r="60" spans="1:7" ht="26.25" thickBot="1">
      <c r="A60" s="8" t="s">
        <v>317</v>
      </c>
      <c r="B60" s="8" t="s">
        <v>328</v>
      </c>
      <c r="C60" s="8" t="s">
        <v>320</v>
      </c>
      <c r="D60" s="8" t="s">
        <v>331</v>
      </c>
      <c r="E60" s="8" t="s">
        <v>332</v>
      </c>
      <c r="F60" s="8" t="s">
        <v>333</v>
      </c>
      <c r="G60" s="8" t="s">
        <v>334</v>
      </c>
    </row>
    <row r="61" spans="1:7" ht="12.75">
      <c r="A61" s="14" t="s">
        <v>322</v>
      </c>
      <c r="B61" s="36">
        <v>15890872</v>
      </c>
      <c r="C61" s="208">
        <v>3312360</v>
      </c>
      <c r="D61" s="36">
        <v>30899</v>
      </c>
      <c r="E61" s="36">
        <v>514</v>
      </c>
      <c r="F61" s="36">
        <v>1926</v>
      </c>
      <c r="G61" s="209">
        <v>1720</v>
      </c>
    </row>
    <row r="62" spans="1:7" ht="12.75">
      <c r="A62" s="15" t="s">
        <v>323</v>
      </c>
      <c r="B62" s="38">
        <v>6268942</v>
      </c>
      <c r="C62" s="187">
        <v>1373087</v>
      </c>
      <c r="D62" s="38">
        <v>18944</v>
      </c>
      <c r="E62" s="38">
        <v>331</v>
      </c>
      <c r="F62" s="38">
        <v>876</v>
      </c>
      <c r="G62" s="195">
        <v>1567</v>
      </c>
    </row>
    <row r="63" spans="1:7" ht="13.5" thickBot="1">
      <c r="A63" s="16" t="s">
        <v>398</v>
      </c>
      <c r="B63" s="160">
        <v>3190335</v>
      </c>
      <c r="C63" s="211">
        <v>846965</v>
      </c>
      <c r="D63" s="160">
        <v>10000</v>
      </c>
      <c r="E63" s="160">
        <v>319</v>
      </c>
      <c r="F63" s="160">
        <v>263</v>
      </c>
      <c r="G63" s="212">
        <v>3220</v>
      </c>
    </row>
    <row r="64" spans="1:7" ht="13.5" thickBot="1">
      <c r="A64" s="7" t="s">
        <v>14</v>
      </c>
      <c r="B64" s="28">
        <f>SUM(B61:B63)</f>
        <v>25350149</v>
      </c>
      <c r="C64" s="193">
        <f>SUM(C61:C63)</f>
        <v>5532412</v>
      </c>
      <c r="D64" s="28">
        <f>SUM(D61:D63)</f>
        <v>59843</v>
      </c>
      <c r="E64" s="28">
        <v>424</v>
      </c>
      <c r="F64" s="28">
        <f>SUM(F61:F63)</f>
        <v>3065</v>
      </c>
      <c r="G64" s="198">
        <f>C64/F64</f>
        <v>1805.0283849918435</v>
      </c>
    </row>
    <row r="66" ht="19.5" customHeight="1">
      <c r="A66" s="1" t="s">
        <v>343</v>
      </c>
    </row>
    <row r="67" ht="12.75" customHeight="1">
      <c r="A67" s="6" t="s">
        <v>140</v>
      </c>
    </row>
    <row r="68" ht="6.75" customHeight="1" thickBot="1"/>
    <row r="69" spans="1:7" ht="26.25" thickBot="1">
      <c r="A69" s="8" t="s">
        <v>317</v>
      </c>
      <c r="B69" s="8" t="s">
        <v>328</v>
      </c>
      <c r="C69" s="8" t="s">
        <v>320</v>
      </c>
      <c r="D69" s="8" t="s">
        <v>331</v>
      </c>
      <c r="E69" s="8" t="s">
        <v>332</v>
      </c>
      <c r="F69" s="8" t="s">
        <v>333</v>
      </c>
      <c r="G69" s="8" t="s">
        <v>334</v>
      </c>
    </row>
    <row r="70" spans="1:7" ht="12.75">
      <c r="A70" s="14" t="s">
        <v>322</v>
      </c>
      <c r="B70" s="36">
        <v>17168172</v>
      </c>
      <c r="C70" s="208">
        <v>3054735</v>
      </c>
      <c r="D70" s="36">
        <v>333300</v>
      </c>
      <c r="E70" s="214">
        <v>51.51</v>
      </c>
      <c r="F70" s="36">
        <v>2470</v>
      </c>
      <c r="G70" s="209">
        <f>C70/F70</f>
        <v>1236.7348178137652</v>
      </c>
    </row>
    <row r="71" spans="1:7" ht="12.75">
      <c r="A71" s="15" t="s">
        <v>323</v>
      </c>
      <c r="B71" s="38">
        <v>7365037</v>
      </c>
      <c r="C71" s="187">
        <v>1834186</v>
      </c>
      <c r="D71" s="38">
        <v>137773</v>
      </c>
      <c r="E71" s="215">
        <v>53.46</v>
      </c>
      <c r="F71" s="38">
        <v>27155</v>
      </c>
      <c r="G71" s="195">
        <f>C71/F71</f>
        <v>67.54505615908673</v>
      </c>
    </row>
    <row r="72" spans="1:7" ht="12.75">
      <c r="A72" s="15" t="s">
        <v>326</v>
      </c>
      <c r="B72" s="38">
        <v>4324961</v>
      </c>
      <c r="C72" s="187">
        <v>935417</v>
      </c>
      <c r="D72" s="38">
        <v>95202</v>
      </c>
      <c r="E72" s="215">
        <v>45.43</v>
      </c>
      <c r="F72" s="38">
        <v>715</v>
      </c>
      <c r="G72" s="195">
        <f>C72/F72</f>
        <v>1308.2755244755244</v>
      </c>
    </row>
    <row r="73" spans="1:7" ht="13.5" thickBot="1">
      <c r="A73" s="16" t="s">
        <v>344</v>
      </c>
      <c r="B73" s="160">
        <v>1663933</v>
      </c>
      <c r="C73" s="211">
        <v>710148</v>
      </c>
      <c r="D73" s="160">
        <v>38209</v>
      </c>
      <c r="E73" s="216">
        <v>43.55</v>
      </c>
      <c r="F73" s="160">
        <v>196</v>
      </c>
      <c r="G73" s="212">
        <f>C73/F73</f>
        <v>3623.204081632653</v>
      </c>
    </row>
    <row r="74" spans="1:7" ht="13.5" thickBot="1">
      <c r="A74" s="7" t="s">
        <v>14</v>
      </c>
      <c r="B74" s="28">
        <f>SUM(B70:B73)</f>
        <v>30522103</v>
      </c>
      <c r="C74" s="193">
        <f>SUM(C70:C73)</f>
        <v>6534486</v>
      </c>
      <c r="D74" s="28">
        <f>SUM(D70:D73)</f>
        <v>604484</v>
      </c>
      <c r="E74" s="213">
        <v>50.49</v>
      </c>
      <c r="F74" s="28">
        <f>SUM(F70:F73)</f>
        <v>30536</v>
      </c>
      <c r="G74" s="198">
        <v>650</v>
      </c>
    </row>
    <row r="77" ht="19.5" customHeight="1">
      <c r="A77" s="1" t="s">
        <v>345</v>
      </c>
    </row>
    <row r="78" ht="12.75" customHeight="1">
      <c r="A78" s="6" t="s">
        <v>346</v>
      </c>
    </row>
    <row r="79" ht="6.75" customHeight="1" thickBot="1"/>
    <row r="80" spans="1:7" ht="26.25" thickBot="1">
      <c r="A80" s="8" t="s">
        <v>317</v>
      </c>
      <c r="B80" s="8" t="s">
        <v>328</v>
      </c>
      <c r="C80" s="8" t="s">
        <v>320</v>
      </c>
      <c r="D80" s="8" t="s">
        <v>331</v>
      </c>
      <c r="E80" s="8" t="s">
        <v>332</v>
      </c>
      <c r="F80" s="8" t="s">
        <v>333</v>
      </c>
      <c r="G80" s="8" t="s">
        <v>334</v>
      </c>
    </row>
    <row r="81" spans="1:7" ht="12.75">
      <c r="A81" s="207" t="s">
        <v>322</v>
      </c>
      <c r="B81" s="36">
        <v>75135153</v>
      </c>
      <c r="C81" s="208">
        <v>41519943</v>
      </c>
      <c r="D81" s="36">
        <v>256337</v>
      </c>
      <c r="E81" s="36">
        <v>293</v>
      </c>
      <c r="F81" s="36">
        <v>105986</v>
      </c>
      <c r="G81" s="209">
        <f>C81/F81</f>
        <v>391.7493159473893</v>
      </c>
    </row>
    <row r="82" spans="1:7" ht="12.75">
      <c r="A82" s="178" t="s">
        <v>323</v>
      </c>
      <c r="B82" s="38">
        <v>29263830</v>
      </c>
      <c r="C82" s="187">
        <v>15275616</v>
      </c>
      <c r="D82" s="38">
        <v>196042</v>
      </c>
      <c r="E82" s="38">
        <v>149</v>
      </c>
      <c r="F82" s="38">
        <v>47118</v>
      </c>
      <c r="G82" s="195">
        <f>C82/F82</f>
        <v>324.19915955685724</v>
      </c>
    </row>
    <row r="83" spans="1:7" ht="12.75">
      <c r="A83" s="178" t="s">
        <v>326</v>
      </c>
      <c r="B83" s="38">
        <v>15006827</v>
      </c>
      <c r="C83" s="187">
        <v>7914706</v>
      </c>
      <c r="D83" s="38">
        <v>88805</v>
      </c>
      <c r="E83" s="38">
        <v>169</v>
      </c>
      <c r="F83" s="38">
        <v>22975</v>
      </c>
      <c r="G83" s="195">
        <f>C83/F83</f>
        <v>344.49210010881393</v>
      </c>
    </row>
    <row r="84" spans="1:7" ht="13.5" thickBot="1">
      <c r="A84" s="210" t="s">
        <v>324</v>
      </c>
      <c r="B84" s="160">
        <v>5957709</v>
      </c>
      <c r="C84" s="211">
        <v>3249914</v>
      </c>
      <c r="D84" s="160">
        <v>54057</v>
      </c>
      <c r="E84" s="160">
        <v>110</v>
      </c>
      <c r="F84" s="160">
        <v>28637</v>
      </c>
      <c r="G84" s="212">
        <f>C84/F84</f>
        <v>113.48653839438488</v>
      </c>
    </row>
    <row r="85" spans="1:7" ht="13.5" thickBot="1">
      <c r="A85" s="7" t="s">
        <v>14</v>
      </c>
      <c r="B85" s="28">
        <f>SUM(B81:B84)</f>
        <v>125363519</v>
      </c>
      <c r="C85" s="193">
        <f>SUM(C81:C84)</f>
        <v>67960179</v>
      </c>
      <c r="D85" s="28">
        <f>SUM(D81:D84)</f>
        <v>595241</v>
      </c>
      <c r="E85" s="28">
        <v>211</v>
      </c>
      <c r="F85" s="28">
        <f>SUM(F81:F84)</f>
        <v>204716</v>
      </c>
      <c r="G85" s="198">
        <v>332</v>
      </c>
    </row>
    <row r="87" ht="19.5" customHeight="1">
      <c r="A87" s="1" t="s">
        <v>347</v>
      </c>
    </row>
    <row r="88" ht="12.75" customHeight="1">
      <c r="A88" s="6" t="s">
        <v>140</v>
      </c>
    </row>
    <row r="89" ht="6.75" customHeight="1" thickBot="1"/>
    <row r="90" spans="1:7" ht="26.25" thickBot="1">
      <c r="A90" s="8" t="s">
        <v>317</v>
      </c>
      <c r="B90" s="8" t="s">
        <v>328</v>
      </c>
      <c r="C90" s="8" t="s">
        <v>320</v>
      </c>
      <c r="D90" s="8" t="s">
        <v>331</v>
      </c>
      <c r="E90" s="8" t="s">
        <v>332</v>
      </c>
      <c r="F90" s="8" t="s">
        <v>333</v>
      </c>
      <c r="G90" s="8" t="s">
        <v>334</v>
      </c>
    </row>
    <row r="91" spans="1:7" ht="12.75">
      <c r="A91" s="14" t="s">
        <v>322</v>
      </c>
      <c r="B91" s="36">
        <v>154531268</v>
      </c>
      <c r="C91" s="208">
        <v>113221787</v>
      </c>
      <c r="D91" s="36">
        <v>73726</v>
      </c>
      <c r="E91" s="36">
        <v>2096</v>
      </c>
      <c r="F91" s="36">
        <v>520648</v>
      </c>
      <c r="G91" s="209">
        <f>C91/F91</f>
        <v>217.4632131497672</v>
      </c>
    </row>
    <row r="92" spans="1:7" ht="12.75">
      <c r="A92" s="15" t="s">
        <v>323</v>
      </c>
      <c r="B92" s="38">
        <v>25859545</v>
      </c>
      <c r="C92" s="187">
        <v>17698892</v>
      </c>
      <c r="D92" s="38">
        <v>23258</v>
      </c>
      <c r="E92" s="38">
        <v>1112</v>
      </c>
      <c r="F92" s="38">
        <v>55209</v>
      </c>
      <c r="G92" s="195">
        <f>C92/F92</f>
        <v>320.57983299824303</v>
      </c>
    </row>
    <row r="93" spans="1:7" ht="13.5" thickBot="1">
      <c r="A93" s="16" t="s">
        <v>340</v>
      </c>
      <c r="B93" s="160">
        <v>9895840</v>
      </c>
      <c r="C93" s="211">
        <v>6758379</v>
      </c>
      <c r="D93" s="160">
        <v>10005</v>
      </c>
      <c r="E93" s="160">
        <v>989</v>
      </c>
      <c r="F93" s="160">
        <v>25352</v>
      </c>
      <c r="G93" s="212">
        <f>C93/F93</f>
        <v>266.58168980751026</v>
      </c>
    </row>
    <row r="94" spans="1:7" ht="13.5" thickBot="1">
      <c r="A94" s="7" t="s">
        <v>14</v>
      </c>
      <c r="B94" s="28">
        <f>SUM(B91:B93)</f>
        <v>190286653</v>
      </c>
      <c r="C94" s="193">
        <f>SUM(C91:C93)</f>
        <v>137679058</v>
      </c>
      <c r="D94" s="28">
        <f>SUM(D91:D93)</f>
        <v>106989</v>
      </c>
      <c r="E94" s="28">
        <v>1779</v>
      </c>
      <c r="F94" s="28">
        <f>SUM(F91:F93)</f>
        <v>601209</v>
      </c>
      <c r="G94" s="198">
        <v>229</v>
      </c>
    </row>
    <row r="96" ht="19.5" customHeight="1">
      <c r="A96" s="1" t="s">
        <v>349</v>
      </c>
    </row>
    <row r="97" ht="12.75" customHeight="1">
      <c r="A97" s="6" t="s">
        <v>140</v>
      </c>
    </row>
    <row r="98" ht="6.75" customHeight="1" thickBot="1"/>
    <row r="99" spans="1:7" ht="26.25" thickBot="1">
      <c r="A99" s="8" t="s">
        <v>317</v>
      </c>
      <c r="B99" s="8" t="s">
        <v>328</v>
      </c>
      <c r="C99" s="8" t="s">
        <v>320</v>
      </c>
      <c r="D99" s="8" t="s">
        <v>331</v>
      </c>
      <c r="E99" s="8" t="s">
        <v>332</v>
      </c>
      <c r="F99" s="8" t="s">
        <v>333</v>
      </c>
      <c r="G99" s="8" t="s">
        <v>334</v>
      </c>
    </row>
    <row r="100" spans="1:7" ht="12.75">
      <c r="A100" s="14" t="s">
        <v>322</v>
      </c>
      <c r="B100" s="36">
        <v>27850413</v>
      </c>
      <c r="C100" s="208">
        <v>7222140</v>
      </c>
      <c r="D100" s="36">
        <v>133300</v>
      </c>
      <c r="E100" s="36">
        <v>209</v>
      </c>
      <c r="F100" s="36">
        <v>24691</v>
      </c>
      <c r="G100" s="209">
        <f>C100/F100</f>
        <v>292.5009112632133</v>
      </c>
    </row>
    <row r="101" spans="1:7" ht="12.75">
      <c r="A101" s="15" t="s">
        <v>323</v>
      </c>
      <c r="B101" s="38">
        <v>6031753</v>
      </c>
      <c r="C101" s="187">
        <v>2575784</v>
      </c>
      <c r="D101" s="38">
        <v>7300</v>
      </c>
      <c r="E101" s="38">
        <v>826</v>
      </c>
      <c r="F101" s="38">
        <v>11648</v>
      </c>
      <c r="G101" s="195">
        <f>C101/F101</f>
        <v>221.1353021978022</v>
      </c>
    </row>
    <row r="102" spans="1:7" ht="13.5" thickBot="1">
      <c r="A102" s="16" t="s">
        <v>348</v>
      </c>
      <c r="B102" s="160">
        <v>3670292</v>
      </c>
      <c r="C102" s="211">
        <v>1519285</v>
      </c>
      <c r="D102" s="160">
        <v>7853</v>
      </c>
      <c r="E102" s="160">
        <v>467</v>
      </c>
      <c r="F102" s="160">
        <v>8129</v>
      </c>
      <c r="G102" s="212">
        <f>C102/F102</f>
        <v>186.8969122893345</v>
      </c>
    </row>
    <row r="103" spans="1:7" ht="13.5" thickBot="1">
      <c r="A103" s="7" t="s">
        <v>14</v>
      </c>
      <c r="B103" s="28">
        <f>SUM(B100:B102)</f>
        <v>37552458</v>
      </c>
      <c r="C103" s="193">
        <f>SUM(C100:C102)</f>
        <v>11317209</v>
      </c>
      <c r="D103" s="28">
        <f>SUM(D100:D102)</f>
        <v>148453</v>
      </c>
      <c r="E103" s="28">
        <v>253</v>
      </c>
      <c r="F103" s="28">
        <f>SUM(F100:F102)</f>
        <v>44468</v>
      </c>
      <c r="G103" s="198">
        <v>255</v>
      </c>
    </row>
    <row r="105" ht="19.5" customHeight="1">
      <c r="A105" s="1" t="s">
        <v>350</v>
      </c>
    </row>
    <row r="106" ht="12.75" customHeight="1">
      <c r="A106" s="6" t="s">
        <v>140</v>
      </c>
    </row>
    <row r="107" ht="6.75" customHeight="1" thickBot="1"/>
    <row r="108" spans="1:7" ht="26.25" thickBot="1">
      <c r="A108" s="8" t="s">
        <v>317</v>
      </c>
      <c r="B108" s="8" t="s">
        <v>328</v>
      </c>
      <c r="C108" s="8" t="s">
        <v>320</v>
      </c>
      <c r="D108" s="8" t="s">
        <v>331</v>
      </c>
      <c r="E108" s="8" t="s">
        <v>332</v>
      </c>
      <c r="F108" s="8" t="s">
        <v>333</v>
      </c>
      <c r="G108" s="8" t="s">
        <v>334</v>
      </c>
    </row>
    <row r="109" spans="1:7" ht="12.75">
      <c r="A109" s="32" t="s">
        <v>322</v>
      </c>
      <c r="B109" s="154">
        <v>6457223</v>
      </c>
      <c r="C109" s="191">
        <v>1204761</v>
      </c>
      <c r="D109" s="154">
        <v>8255</v>
      </c>
      <c r="E109" s="154">
        <v>782</v>
      </c>
      <c r="F109" s="154">
        <v>5500</v>
      </c>
      <c r="G109" s="197">
        <f>C109/F109</f>
        <v>219.04745454545454</v>
      </c>
    </row>
    <row r="110" spans="1:7" ht="12.75">
      <c r="A110" s="15" t="s">
        <v>323</v>
      </c>
      <c r="B110" s="38">
        <v>2295484</v>
      </c>
      <c r="C110" s="187">
        <v>578987</v>
      </c>
      <c r="D110" s="38">
        <v>5331</v>
      </c>
      <c r="E110" s="38">
        <v>431</v>
      </c>
      <c r="F110" s="38">
        <v>2526</v>
      </c>
      <c r="G110" s="195">
        <f>C110/F110</f>
        <v>229.21100554235946</v>
      </c>
    </row>
    <row r="111" spans="1:7" ht="13.5" thickBot="1">
      <c r="A111" s="33" t="s">
        <v>398</v>
      </c>
      <c r="B111" s="39">
        <v>1140913</v>
      </c>
      <c r="C111" s="189">
        <v>449304</v>
      </c>
      <c r="D111" s="39">
        <v>3574</v>
      </c>
      <c r="E111" s="39">
        <v>319</v>
      </c>
      <c r="F111" s="39">
        <v>2006</v>
      </c>
      <c r="G111" s="196">
        <f>C111/F111</f>
        <v>223.98005982053837</v>
      </c>
    </row>
    <row r="112" spans="1:7" ht="13.5" thickBot="1">
      <c r="A112" s="7" t="s">
        <v>14</v>
      </c>
      <c r="B112" s="28">
        <f>SUM(B109:B111)</f>
        <v>9893620</v>
      </c>
      <c r="C112" s="193">
        <f>SUM(C109:C111)</f>
        <v>2233052</v>
      </c>
      <c r="D112" s="28">
        <f>SUM(D109:D111)</f>
        <v>17160</v>
      </c>
      <c r="E112" s="28">
        <v>577</v>
      </c>
      <c r="F112" s="28">
        <f>SUM(F109:F111)</f>
        <v>10032</v>
      </c>
      <c r="G112" s="198">
        <v>223</v>
      </c>
    </row>
    <row r="114" ht="19.5" customHeight="1">
      <c r="A114" s="1" t="s">
        <v>351</v>
      </c>
    </row>
    <row r="115" ht="12.75" customHeight="1">
      <c r="A115" s="6" t="s">
        <v>140</v>
      </c>
    </row>
    <row r="116" ht="6.75" customHeight="1" thickBot="1"/>
    <row r="117" spans="1:7" ht="26.25" thickBot="1">
      <c r="A117" s="8" t="s">
        <v>317</v>
      </c>
      <c r="B117" s="8" t="s">
        <v>328</v>
      </c>
      <c r="C117" s="8" t="s">
        <v>320</v>
      </c>
      <c r="D117" s="8" t="s">
        <v>331</v>
      </c>
      <c r="E117" s="8" t="s">
        <v>332</v>
      </c>
      <c r="F117" s="8" t="s">
        <v>333</v>
      </c>
      <c r="G117" s="8" t="s">
        <v>334</v>
      </c>
    </row>
    <row r="118" spans="1:7" ht="12.75">
      <c r="A118" s="14" t="s">
        <v>397</v>
      </c>
      <c r="B118" s="36">
        <v>4621533</v>
      </c>
      <c r="C118" s="208">
        <v>1437331</v>
      </c>
      <c r="D118" s="36">
        <v>1288</v>
      </c>
      <c r="E118" s="36">
        <f>B118/D118</f>
        <v>3588.146739130435</v>
      </c>
      <c r="F118" s="36">
        <v>157</v>
      </c>
      <c r="G118" s="209">
        <f>C118/F118</f>
        <v>9154.974522292994</v>
      </c>
    </row>
    <row r="119" spans="1:7" ht="12.75">
      <c r="A119" s="15" t="s">
        <v>352</v>
      </c>
      <c r="B119" s="38">
        <v>1723973</v>
      </c>
      <c r="C119" s="187">
        <v>153997</v>
      </c>
      <c r="D119" s="38">
        <v>104</v>
      </c>
      <c r="E119" s="38">
        <f>B119/D119</f>
        <v>16576.66346153846</v>
      </c>
      <c r="F119" s="38">
        <v>53</v>
      </c>
      <c r="G119" s="195">
        <f>C119/F119</f>
        <v>2905.603773584906</v>
      </c>
    </row>
    <row r="120" spans="1:7" ht="12.75">
      <c r="A120" s="15" t="s">
        <v>353</v>
      </c>
      <c r="B120" s="38">
        <v>968569</v>
      </c>
      <c r="C120" s="187">
        <v>207679</v>
      </c>
      <c r="D120" s="38">
        <v>396</v>
      </c>
      <c r="E120" s="38">
        <f>B120/D120</f>
        <v>2445.881313131313</v>
      </c>
      <c r="F120" s="38">
        <v>135</v>
      </c>
      <c r="G120" s="195">
        <f>C120/F120</f>
        <v>1538.362962962963</v>
      </c>
    </row>
    <row r="121" spans="1:7" ht="13.5" thickBot="1">
      <c r="A121" s="16" t="s">
        <v>354</v>
      </c>
      <c r="B121" s="160">
        <v>426943</v>
      </c>
      <c r="C121" s="211">
        <v>99352</v>
      </c>
      <c r="D121" s="160">
        <v>148</v>
      </c>
      <c r="E121" s="160">
        <f>B121/D121</f>
        <v>2884.75</v>
      </c>
      <c r="F121" s="160">
        <v>111</v>
      </c>
      <c r="G121" s="212">
        <f>C121/F121</f>
        <v>895.063063063063</v>
      </c>
    </row>
    <row r="122" spans="1:7" ht="13.5" thickBot="1">
      <c r="A122" s="7" t="s">
        <v>14</v>
      </c>
      <c r="B122" s="28">
        <f>SUM(B118:B121)</f>
        <v>7741018</v>
      </c>
      <c r="C122" s="193">
        <f>SUM(C118:C121)</f>
        <v>1898359</v>
      </c>
      <c r="D122" s="28">
        <f>SUM(D118:D121)</f>
        <v>1936</v>
      </c>
      <c r="E122" s="28">
        <f>B122/D122</f>
        <v>3998.4597107438017</v>
      </c>
      <c r="F122" s="28">
        <f>SUM(F118:F121)</f>
        <v>456</v>
      </c>
      <c r="G122" s="198">
        <f>C122/F122</f>
        <v>4163.06798245614</v>
      </c>
    </row>
    <row r="124" ht="19.5" customHeight="1">
      <c r="A124" s="1" t="s">
        <v>355</v>
      </c>
    </row>
    <row r="125" ht="12.75" customHeight="1">
      <c r="A125" s="6" t="s">
        <v>140</v>
      </c>
    </row>
    <row r="126" ht="6.75" customHeight="1" thickBot="1"/>
    <row r="127" spans="1:7" ht="26.25" thickBot="1">
      <c r="A127" s="8" t="s">
        <v>317</v>
      </c>
      <c r="B127" s="8" t="s">
        <v>328</v>
      </c>
      <c r="C127" s="8" t="s">
        <v>320</v>
      </c>
      <c r="D127" s="8" t="s">
        <v>331</v>
      </c>
      <c r="E127" s="8" t="s">
        <v>332</v>
      </c>
      <c r="F127" s="8" t="s">
        <v>333</v>
      </c>
      <c r="G127" s="8" t="s">
        <v>334</v>
      </c>
    </row>
    <row r="128" spans="1:7" ht="12.75">
      <c r="A128" s="14" t="s">
        <v>322</v>
      </c>
      <c r="B128" s="36">
        <v>18042806</v>
      </c>
      <c r="C128" s="208">
        <v>3610133</v>
      </c>
      <c r="D128" s="36">
        <v>38065</v>
      </c>
      <c r="E128" s="36">
        <f>B128/D128</f>
        <v>473.99989491659005</v>
      </c>
      <c r="F128" s="36">
        <v>8735</v>
      </c>
      <c r="G128" s="209">
        <f>C128/F128</f>
        <v>413.2951345163137</v>
      </c>
    </row>
    <row r="129" spans="1:7" ht="12.75">
      <c r="A129" s="15" t="s">
        <v>323</v>
      </c>
      <c r="B129" s="38">
        <v>5276401</v>
      </c>
      <c r="C129" s="187">
        <v>734994</v>
      </c>
      <c r="D129" s="38">
        <v>10318</v>
      </c>
      <c r="E129" s="38">
        <f>B129/D129</f>
        <v>511.3782709827486</v>
      </c>
      <c r="F129" s="38">
        <v>1189</v>
      </c>
      <c r="G129" s="195">
        <f>C129/F129</f>
        <v>618.161480235492</v>
      </c>
    </row>
    <row r="130" spans="1:7" ht="13.5" thickBot="1">
      <c r="A130" s="16" t="s">
        <v>340</v>
      </c>
      <c r="B130" s="160">
        <v>2053405</v>
      </c>
      <c r="C130" s="211">
        <v>558372</v>
      </c>
      <c r="D130" s="160">
        <v>10759</v>
      </c>
      <c r="E130" s="160">
        <f>B130/D130</f>
        <v>190.85463333023515</v>
      </c>
      <c r="F130" s="160">
        <v>2116</v>
      </c>
      <c r="G130" s="212">
        <f>C130/F130</f>
        <v>263.88090737240077</v>
      </c>
    </row>
    <row r="131" spans="1:7" ht="13.5" thickBot="1">
      <c r="A131" s="7" t="s">
        <v>14</v>
      </c>
      <c r="B131" s="28">
        <f>SUM(B128:B130)</f>
        <v>25372612</v>
      </c>
      <c r="C131" s="193">
        <f>SUM(C128:C130)</f>
        <v>4903499</v>
      </c>
      <c r="D131" s="28">
        <f>SUM(D128:D130)</f>
        <v>59142</v>
      </c>
      <c r="E131" s="28">
        <f>B131/D131</f>
        <v>429.0117344695817</v>
      </c>
      <c r="F131" s="28">
        <f>SUM(F128:F130)</f>
        <v>12040</v>
      </c>
      <c r="G131" s="198">
        <f>C131/F131</f>
        <v>407.2673588039867</v>
      </c>
    </row>
    <row r="133" ht="19.5" customHeight="1">
      <c r="A133" s="1" t="s">
        <v>356</v>
      </c>
    </row>
    <row r="134" ht="12.75" customHeight="1">
      <c r="A134" s="6" t="s">
        <v>140</v>
      </c>
    </row>
    <row r="135" ht="6.75" customHeight="1" thickBot="1"/>
    <row r="136" spans="1:7" ht="26.25" thickBot="1">
      <c r="A136" s="8" t="s">
        <v>317</v>
      </c>
      <c r="B136" s="8" t="s">
        <v>328</v>
      </c>
      <c r="C136" s="8" t="s">
        <v>320</v>
      </c>
      <c r="D136" s="8" t="s">
        <v>331</v>
      </c>
      <c r="E136" s="8" t="s">
        <v>332</v>
      </c>
      <c r="F136" s="8" t="s">
        <v>333</v>
      </c>
      <c r="G136" s="8" t="s">
        <v>334</v>
      </c>
    </row>
    <row r="137" spans="1:7" ht="12.75">
      <c r="A137" s="14" t="s">
        <v>338</v>
      </c>
      <c r="B137" s="36">
        <v>979504</v>
      </c>
      <c r="C137" s="208">
        <v>146247</v>
      </c>
      <c r="D137" s="36">
        <v>120</v>
      </c>
      <c r="E137" s="36">
        <v>8163</v>
      </c>
      <c r="F137" s="36">
        <v>285</v>
      </c>
      <c r="G137" s="209">
        <f>C137/F137</f>
        <v>513.1473684210526</v>
      </c>
    </row>
    <row r="138" spans="1:7" ht="13.5" thickBot="1">
      <c r="A138" s="16" t="s">
        <v>357</v>
      </c>
      <c r="B138" s="160">
        <v>117277</v>
      </c>
      <c r="C138" s="211">
        <v>95363</v>
      </c>
      <c r="D138" s="160">
        <v>9</v>
      </c>
      <c r="E138" s="160">
        <f>B138/D138</f>
        <v>13030.777777777777</v>
      </c>
      <c r="F138" s="160">
        <v>140</v>
      </c>
      <c r="G138" s="212">
        <f>C138/F138</f>
        <v>681.1642857142857</v>
      </c>
    </row>
    <row r="139" spans="1:7" ht="13.5" thickBot="1">
      <c r="A139" s="7" t="s">
        <v>14</v>
      </c>
      <c r="B139" s="28">
        <f>SUM(B137:B138)</f>
        <v>1096781</v>
      </c>
      <c r="C139" s="193">
        <f>SUM(C137:C138)</f>
        <v>241610</v>
      </c>
      <c r="D139" s="28">
        <f>SUM(D137:D138)</f>
        <v>129</v>
      </c>
      <c r="E139" s="28">
        <f>B139/D139</f>
        <v>8502.178294573643</v>
      </c>
      <c r="F139" s="28">
        <f>SUM(F137:F138)</f>
        <v>425</v>
      </c>
      <c r="G139" s="198">
        <f>C139/F139</f>
        <v>568.4941176470588</v>
      </c>
    </row>
  </sheetData>
  <sheetProtection/>
  <printOptions horizontalCentered="1"/>
  <pageMargins left="0" right="0" top="0.5" bottom="0.5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H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28125" style="6" customWidth="1"/>
    <col min="2" max="8" width="14.7109375" style="6" customWidth="1"/>
    <col min="9" max="16384" width="9.140625" style="6" customWidth="1"/>
  </cols>
  <sheetData>
    <row r="1" ht="19.5" customHeight="1">
      <c r="A1" s="1" t="s">
        <v>359</v>
      </c>
    </row>
    <row r="2" ht="12.75">
      <c r="A2" s="6" t="s">
        <v>140</v>
      </c>
    </row>
    <row r="3" ht="6.75" customHeight="1" thickBot="1"/>
    <row r="4" spans="2:8" ht="13.5" customHeight="1" thickBot="1">
      <c r="B4" s="7" t="s">
        <v>360</v>
      </c>
      <c r="C4" s="235" t="s">
        <v>362</v>
      </c>
      <c r="D4" s="235"/>
      <c r="E4" s="7" t="s">
        <v>361</v>
      </c>
      <c r="F4" s="7" t="s">
        <v>365</v>
      </c>
      <c r="G4" s="7" t="s">
        <v>367</v>
      </c>
      <c r="H4" s="239" t="s">
        <v>14</v>
      </c>
    </row>
    <row r="5" spans="1:8" ht="13.5" thickBot="1">
      <c r="A5" s="3"/>
      <c r="B5" s="13" t="s">
        <v>124</v>
      </c>
      <c r="C5" s="13" t="s">
        <v>363</v>
      </c>
      <c r="D5" s="13" t="s">
        <v>364</v>
      </c>
      <c r="E5" s="13" t="s">
        <v>126</v>
      </c>
      <c r="F5" s="13" t="s">
        <v>366</v>
      </c>
      <c r="G5" s="13" t="s">
        <v>368</v>
      </c>
      <c r="H5" s="239"/>
    </row>
    <row r="6" spans="1:8" ht="19.5" customHeight="1" thickBot="1">
      <c r="A6" s="237" t="s">
        <v>369</v>
      </c>
      <c r="B6" s="237"/>
      <c r="C6" s="237"/>
      <c r="D6" s="237"/>
      <c r="E6" s="237"/>
      <c r="F6" s="237"/>
      <c r="G6" s="237"/>
      <c r="H6" s="237"/>
    </row>
    <row r="7" spans="1:8" ht="19.5" customHeight="1">
      <c r="A7" s="14" t="s">
        <v>370</v>
      </c>
      <c r="B7" s="218">
        <v>0</v>
      </c>
      <c r="C7" s="218">
        <v>0.05</v>
      </c>
      <c r="D7" s="218">
        <v>0.05</v>
      </c>
      <c r="E7" s="218">
        <v>0.05</v>
      </c>
      <c r="F7" s="218">
        <v>0.03</v>
      </c>
      <c r="G7" s="218">
        <v>0.05</v>
      </c>
      <c r="H7" s="273"/>
    </row>
    <row r="8" spans="1:8" ht="19.5" customHeight="1">
      <c r="A8" s="15" t="s">
        <v>371</v>
      </c>
      <c r="B8" s="219">
        <v>0</v>
      </c>
      <c r="C8" s="219">
        <v>0.06</v>
      </c>
      <c r="D8" s="219">
        <v>0.06</v>
      </c>
      <c r="E8" s="219">
        <v>0.06</v>
      </c>
      <c r="F8" s="219">
        <v>0.06</v>
      </c>
      <c r="G8" s="219">
        <v>0.06</v>
      </c>
      <c r="H8" s="274"/>
    </row>
    <row r="9" spans="1:8" ht="19.5" customHeight="1">
      <c r="A9" s="21" t="s">
        <v>372</v>
      </c>
      <c r="B9" s="220">
        <f>15%*5%</f>
        <v>0.0075</v>
      </c>
      <c r="C9" s="220">
        <f>15%*5%</f>
        <v>0.0075</v>
      </c>
      <c r="D9" s="220">
        <f>15%*6%</f>
        <v>0.009</v>
      </c>
      <c r="E9" s="220">
        <f>15%*12%</f>
        <v>0.018</v>
      </c>
      <c r="F9" s="220">
        <f>15%*7%</f>
        <v>0.0105</v>
      </c>
      <c r="G9" s="220">
        <f>15%*10%</f>
        <v>0.015</v>
      </c>
      <c r="H9" s="274"/>
    </row>
    <row r="10" spans="1:8" ht="19.5" customHeight="1" thickBot="1">
      <c r="A10" s="93" t="s">
        <v>373</v>
      </c>
      <c r="B10" s="221">
        <v>0.002</v>
      </c>
      <c r="C10" s="221">
        <v>0.002</v>
      </c>
      <c r="D10" s="221">
        <v>0.002</v>
      </c>
      <c r="E10" s="221">
        <v>0.002</v>
      </c>
      <c r="F10" s="221">
        <v>0.002</v>
      </c>
      <c r="G10" s="221">
        <v>0.002</v>
      </c>
      <c r="H10" s="275"/>
    </row>
    <row r="11" spans="1:8" ht="19.5" customHeight="1" thickBot="1">
      <c r="A11" s="90" t="s">
        <v>374</v>
      </c>
      <c r="B11" s="222">
        <f aca="true" t="shared" si="0" ref="B11:G11">SUM(B7:B10)</f>
        <v>0.0095</v>
      </c>
      <c r="C11" s="222">
        <f t="shared" si="0"/>
        <v>0.1195</v>
      </c>
      <c r="D11" s="222">
        <f t="shared" si="0"/>
        <v>0.121</v>
      </c>
      <c r="E11" s="222">
        <f t="shared" si="0"/>
        <v>0.13</v>
      </c>
      <c r="F11" s="222">
        <f t="shared" si="0"/>
        <v>0.1025</v>
      </c>
      <c r="G11" s="222">
        <f t="shared" si="0"/>
        <v>0.127</v>
      </c>
      <c r="H11" s="223">
        <v>0.08</v>
      </c>
    </row>
    <row r="12" spans="1:8" ht="19.5" customHeight="1" thickBot="1">
      <c r="A12" s="224" t="s">
        <v>375</v>
      </c>
      <c r="B12" s="34">
        <v>276080000</v>
      </c>
      <c r="C12" s="34">
        <v>186770000</v>
      </c>
      <c r="D12" s="34">
        <v>225949000</v>
      </c>
      <c r="E12" s="34">
        <v>44981000</v>
      </c>
      <c r="F12" s="34">
        <v>22698000</v>
      </c>
      <c r="G12" s="34">
        <v>1115000</v>
      </c>
      <c r="H12" s="34">
        <f>SUM(B12:G12)</f>
        <v>757593000</v>
      </c>
    </row>
    <row r="13" spans="1:8" ht="19.5" customHeight="1" thickBot="1">
      <c r="A13" s="225" t="s">
        <v>376</v>
      </c>
      <c r="B13" s="29">
        <v>2623000</v>
      </c>
      <c r="C13" s="29">
        <v>22319000</v>
      </c>
      <c r="D13" s="29">
        <v>27340000</v>
      </c>
      <c r="E13" s="29">
        <v>5848000</v>
      </c>
      <c r="F13" s="29">
        <v>2327000</v>
      </c>
      <c r="G13" s="29">
        <v>142000</v>
      </c>
      <c r="H13" s="29">
        <f>SUM(B13:G13)</f>
        <v>60599000</v>
      </c>
    </row>
    <row r="14" spans="1:8" ht="19.5" customHeight="1" thickBot="1">
      <c r="A14" s="237" t="s">
        <v>377</v>
      </c>
      <c r="B14" s="237"/>
      <c r="C14" s="237"/>
      <c r="D14" s="237"/>
      <c r="E14" s="237"/>
      <c r="F14" s="237"/>
      <c r="G14" s="237"/>
      <c r="H14" s="237"/>
    </row>
    <row r="15" spans="1:8" ht="19.5" customHeight="1">
      <c r="A15" s="20" t="s">
        <v>378</v>
      </c>
      <c r="B15" s="226">
        <v>0.0225</v>
      </c>
      <c r="C15" s="226">
        <v>0.0225</v>
      </c>
      <c r="D15" s="226">
        <v>0.0225</v>
      </c>
      <c r="E15" s="226">
        <v>0.0225</v>
      </c>
      <c r="F15" s="226">
        <v>0.0225</v>
      </c>
      <c r="G15" s="226">
        <v>0.0225</v>
      </c>
      <c r="H15" s="226">
        <v>0.0225</v>
      </c>
    </row>
    <row r="16" spans="1:8" ht="19.5" customHeight="1" thickBot="1">
      <c r="A16" s="19" t="s">
        <v>379</v>
      </c>
      <c r="B16" s="27">
        <v>3020000</v>
      </c>
      <c r="C16" s="27">
        <v>30320000</v>
      </c>
      <c r="D16" s="27">
        <v>27532000</v>
      </c>
      <c r="E16" s="27">
        <v>27358000</v>
      </c>
      <c r="F16" s="27">
        <v>11525000</v>
      </c>
      <c r="G16" s="27">
        <v>335000</v>
      </c>
      <c r="H16" s="27">
        <v>127090000</v>
      </c>
    </row>
    <row r="17" spans="1:8" ht="19.5" customHeight="1" thickBot="1">
      <c r="A17" s="90" t="s">
        <v>380</v>
      </c>
      <c r="B17" s="29">
        <v>675000</v>
      </c>
      <c r="C17" s="29">
        <v>682000</v>
      </c>
      <c r="D17" s="29">
        <v>619000</v>
      </c>
      <c r="E17" s="29">
        <v>616000</v>
      </c>
      <c r="F17" s="29">
        <v>259000</v>
      </c>
      <c r="G17" s="29">
        <v>8000</v>
      </c>
      <c r="H17" s="29">
        <f>SUM(B17:G17)</f>
        <v>2859000</v>
      </c>
    </row>
    <row r="18" spans="1:8" ht="19.5" customHeight="1" thickBot="1">
      <c r="A18" s="237" t="s">
        <v>381</v>
      </c>
      <c r="B18" s="237"/>
      <c r="C18" s="237"/>
      <c r="D18" s="237"/>
      <c r="E18" s="237"/>
      <c r="F18" s="237"/>
      <c r="G18" s="237"/>
      <c r="H18" s="237"/>
    </row>
    <row r="19" spans="1:8" ht="19.5" customHeight="1">
      <c r="A19" s="227" t="s">
        <v>382</v>
      </c>
      <c r="B19" s="228" t="s">
        <v>383</v>
      </c>
      <c r="C19" s="228" t="s">
        <v>383</v>
      </c>
      <c r="D19" s="228" t="s">
        <v>383</v>
      </c>
      <c r="E19" s="228" t="s">
        <v>383</v>
      </c>
      <c r="F19" s="228" t="s">
        <v>383</v>
      </c>
      <c r="G19" s="228" t="s">
        <v>383</v>
      </c>
      <c r="H19" s="228" t="s">
        <v>383</v>
      </c>
    </row>
    <row r="20" spans="1:8" ht="19.5" customHeight="1" thickBot="1">
      <c r="A20" s="229" t="s">
        <v>384</v>
      </c>
      <c r="B20" s="230">
        <v>282000</v>
      </c>
      <c r="C20" s="230">
        <v>107000</v>
      </c>
      <c r="D20" s="230">
        <v>1427000</v>
      </c>
      <c r="E20" s="230">
        <v>166000</v>
      </c>
      <c r="F20" s="230">
        <v>60000</v>
      </c>
      <c r="G20" s="230"/>
      <c r="H20" s="230">
        <f>SUM(B20:G20)</f>
        <v>2042000</v>
      </c>
    </row>
    <row r="21" spans="1:8" ht="19.5" customHeight="1" thickBot="1">
      <c r="A21" s="90" t="s">
        <v>385</v>
      </c>
      <c r="B21" s="29">
        <v>375000</v>
      </c>
      <c r="C21" s="29">
        <v>142000</v>
      </c>
      <c r="D21" s="29">
        <v>1898000</v>
      </c>
      <c r="E21" s="29">
        <v>221000</v>
      </c>
      <c r="F21" s="29">
        <v>80000</v>
      </c>
      <c r="G21" s="29"/>
      <c r="H21" s="29">
        <f>SUM(B21:G21)</f>
        <v>2716000</v>
      </c>
    </row>
    <row r="22" spans="1:8" ht="19.5" customHeight="1">
      <c r="A22" s="50" t="s">
        <v>386</v>
      </c>
      <c r="B22" s="30">
        <f>B13+B17+B21</f>
        <v>3673000</v>
      </c>
      <c r="C22" s="30">
        <f aca="true" t="shared" si="1" ref="C22:H22">C13+C17+C21</f>
        <v>23143000</v>
      </c>
      <c r="D22" s="30">
        <f t="shared" si="1"/>
        <v>29857000</v>
      </c>
      <c r="E22" s="30">
        <f t="shared" si="1"/>
        <v>6685000</v>
      </c>
      <c r="F22" s="30">
        <f t="shared" si="1"/>
        <v>2666000</v>
      </c>
      <c r="G22" s="30">
        <f t="shared" si="1"/>
        <v>150000</v>
      </c>
      <c r="H22" s="30">
        <f t="shared" si="1"/>
        <v>66174000</v>
      </c>
    </row>
    <row r="23" spans="1:8" ht="19.5" customHeight="1" thickBot="1">
      <c r="A23" s="108" t="s">
        <v>387</v>
      </c>
      <c r="B23" s="231">
        <v>0.0133</v>
      </c>
      <c r="C23" s="231">
        <v>0.1239</v>
      </c>
      <c r="D23" s="231">
        <v>0.1321</v>
      </c>
      <c r="E23" s="231">
        <v>0.1486</v>
      </c>
      <c r="F23" s="231">
        <v>0.1175</v>
      </c>
      <c r="G23" s="231">
        <v>0.1345</v>
      </c>
      <c r="H23" s="231">
        <v>0.0873</v>
      </c>
    </row>
    <row r="24" spans="2:8" ht="12.75">
      <c r="B24" s="217"/>
      <c r="C24" s="217"/>
      <c r="D24" s="217"/>
      <c r="E24" s="217"/>
      <c r="F24" s="217"/>
      <c r="G24" s="217"/>
      <c r="H24" s="217"/>
    </row>
    <row r="25" spans="2:8" ht="12.75">
      <c r="B25" s="217"/>
      <c r="C25" s="217"/>
      <c r="D25" s="217"/>
      <c r="E25" s="217"/>
      <c r="F25" s="217"/>
      <c r="G25" s="217"/>
      <c r="H25" s="217"/>
    </row>
    <row r="26" spans="2:8" ht="12.75">
      <c r="B26" s="217"/>
      <c r="C26" s="217"/>
      <c r="D26" s="217"/>
      <c r="E26" s="217"/>
      <c r="F26" s="217"/>
      <c r="G26" s="217"/>
      <c r="H26" s="217"/>
    </row>
    <row r="27" spans="2:8" ht="12.75">
      <c r="B27" s="217"/>
      <c r="C27" s="217"/>
      <c r="D27" s="217"/>
      <c r="E27" s="217"/>
      <c r="F27" s="217"/>
      <c r="G27" s="217"/>
      <c r="H27" s="217"/>
    </row>
    <row r="28" spans="2:8" ht="12.75">
      <c r="B28" s="217"/>
      <c r="C28" s="217"/>
      <c r="D28" s="217"/>
      <c r="E28" s="217"/>
      <c r="F28" s="217"/>
      <c r="G28" s="217"/>
      <c r="H28" s="217"/>
    </row>
    <row r="29" spans="2:8" ht="12.75">
      <c r="B29" s="217"/>
      <c r="C29" s="217"/>
      <c r="D29" s="217"/>
      <c r="E29" s="217"/>
      <c r="F29" s="217"/>
      <c r="G29" s="217"/>
      <c r="H29" s="217"/>
    </row>
    <row r="30" spans="2:8" ht="12.75">
      <c r="B30" s="217"/>
      <c r="C30" s="217"/>
      <c r="D30" s="217"/>
      <c r="E30" s="217"/>
      <c r="F30" s="217"/>
      <c r="G30" s="217"/>
      <c r="H30" s="217"/>
    </row>
    <row r="31" spans="2:8" ht="12.75">
      <c r="B31" s="217"/>
      <c r="C31" s="217"/>
      <c r="D31" s="217"/>
      <c r="E31" s="217"/>
      <c r="F31" s="217"/>
      <c r="G31" s="217"/>
      <c r="H31" s="217"/>
    </row>
    <row r="32" spans="2:8" ht="12.75">
      <c r="B32" s="217"/>
      <c r="C32" s="217"/>
      <c r="D32" s="217"/>
      <c r="E32" s="217"/>
      <c r="F32" s="217"/>
      <c r="G32" s="217"/>
      <c r="H32" s="217"/>
    </row>
    <row r="33" spans="2:8" ht="12.75">
      <c r="B33" s="217"/>
      <c r="C33" s="217"/>
      <c r="D33" s="217"/>
      <c r="E33" s="217"/>
      <c r="F33" s="217"/>
      <c r="G33" s="217"/>
      <c r="H33" s="217"/>
    </row>
    <row r="34" spans="2:8" ht="12.75">
      <c r="B34" s="217"/>
      <c r="C34" s="217"/>
      <c r="D34" s="217"/>
      <c r="E34" s="217"/>
      <c r="F34" s="217"/>
      <c r="G34" s="217"/>
      <c r="H34" s="217"/>
    </row>
    <row r="35" spans="2:8" ht="12.75">
      <c r="B35" s="217"/>
      <c r="C35" s="217"/>
      <c r="D35" s="217"/>
      <c r="E35" s="217"/>
      <c r="F35" s="217"/>
      <c r="G35" s="217"/>
      <c r="H35" s="217"/>
    </row>
  </sheetData>
  <sheetProtection/>
  <mergeCells count="6">
    <mergeCell ref="A14:H14"/>
    <mergeCell ref="A18:H18"/>
    <mergeCell ref="C4:D4"/>
    <mergeCell ref="H4:H5"/>
    <mergeCell ref="A6:H6"/>
    <mergeCell ref="H7:H10"/>
  </mergeCells>
  <printOptions horizontalCentered="1"/>
  <pageMargins left="0" right="0" top="0.5" bottom="0.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0" customWidth="1"/>
    <col min="2" max="2" width="23.00390625" style="40" bestFit="1" customWidth="1"/>
    <col min="3" max="8" width="11.7109375" style="40" customWidth="1"/>
    <col min="9" max="16384" width="9.140625" style="40" customWidth="1"/>
  </cols>
  <sheetData>
    <row r="1" ht="19.5" customHeight="1">
      <c r="A1" s="63" t="s">
        <v>139</v>
      </c>
    </row>
    <row r="2" ht="12.75">
      <c r="A2" s="6" t="s">
        <v>140</v>
      </c>
    </row>
    <row r="3" ht="13.5" thickBot="1"/>
    <row r="4" spans="1:10" ht="27" customHeight="1" thickBot="1">
      <c r="A4" s="7" t="s">
        <v>15</v>
      </c>
      <c r="B4" s="41" t="s">
        <v>138</v>
      </c>
      <c r="C4" s="41" t="s">
        <v>141</v>
      </c>
      <c r="D4" s="41" t="s">
        <v>126</v>
      </c>
      <c r="E4" s="41" t="s">
        <v>366</v>
      </c>
      <c r="F4" s="41" t="s">
        <v>142</v>
      </c>
      <c r="G4" s="41" t="s">
        <v>143</v>
      </c>
      <c r="H4" s="41" t="s">
        <v>14</v>
      </c>
      <c r="I4" s="64"/>
      <c r="J4" s="64"/>
    </row>
    <row r="5" spans="1:8" ht="12.75">
      <c r="A5" s="66">
        <v>1</v>
      </c>
      <c r="B5" s="65" t="s">
        <v>31</v>
      </c>
      <c r="C5" s="42">
        <v>1</v>
      </c>
      <c r="D5" s="42">
        <v>1</v>
      </c>
      <c r="E5" s="42">
        <v>1</v>
      </c>
      <c r="F5" s="42">
        <v>1</v>
      </c>
      <c r="G5" s="42">
        <v>1</v>
      </c>
      <c r="H5" s="43">
        <f>SUM(C5:G5)</f>
        <v>5</v>
      </c>
    </row>
    <row r="6" spans="1:8" ht="12.75">
      <c r="A6" s="67">
        <v>2</v>
      </c>
      <c r="B6" s="18" t="s">
        <v>32</v>
      </c>
      <c r="C6" s="44">
        <v>1</v>
      </c>
      <c r="D6" s="44">
        <v>1</v>
      </c>
      <c r="E6" s="44">
        <v>1</v>
      </c>
      <c r="F6" s="44">
        <v>1</v>
      </c>
      <c r="G6" s="44">
        <v>0</v>
      </c>
      <c r="H6" s="45">
        <f aca="true" t="shared" si="0" ref="H6:H59">SUM(C6:G6)</f>
        <v>4</v>
      </c>
    </row>
    <row r="7" spans="1:8" ht="12.75">
      <c r="A7" s="67">
        <v>3</v>
      </c>
      <c r="B7" s="18" t="s">
        <v>33</v>
      </c>
      <c r="C7" s="44">
        <v>1</v>
      </c>
      <c r="D7" s="44">
        <v>0</v>
      </c>
      <c r="E7" s="44">
        <v>0</v>
      </c>
      <c r="F7" s="44">
        <v>1</v>
      </c>
      <c r="G7" s="44">
        <v>0</v>
      </c>
      <c r="H7" s="45">
        <f t="shared" si="0"/>
        <v>2</v>
      </c>
    </row>
    <row r="8" spans="1:8" ht="12.75">
      <c r="A8" s="67">
        <v>4</v>
      </c>
      <c r="B8" s="18" t="s">
        <v>34</v>
      </c>
      <c r="C8" s="44">
        <v>1</v>
      </c>
      <c r="D8" s="44">
        <v>1</v>
      </c>
      <c r="E8" s="44">
        <v>1</v>
      </c>
      <c r="F8" s="44">
        <v>1</v>
      </c>
      <c r="G8" s="44">
        <v>1</v>
      </c>
      <c r="H8" s="45">
        <f t="shared" si="0"/>
        <v>5</v>
      </c>
    </row>
    <row r="9" spans="1:8" ht="12.75">
      <c r="A9" s="67">
        <v>5</v>
      </c>
      <c r="B9" s="18" t="s">
        <v>12</v>
      </c>
      <c r="C9" s="44">
        <v>1</v>
      </c>
      <c r="D9" s="44">
        <v>1</v>
      </c>
      <c r="E9" s="44">
        <v>1</v>
      </c>
      <c r="F9" s="44">
        <v>1</v>
      </c>
      <c r="G9" s="44">
        <v>0</v>
      </c>
      <c r="H9" s="45">
        <f t="shared" si="0"/>
        <v>4</v>
      </c>
    </row>
    <row r="10" spans="1:8" ht="12.75">
      <c r="A10" s="67">
        <v>6</v>
      </c>
      <c r="B10" s="18" t="s">
        <v>35</v>
      </c>
      <c r="C10" s="44">
        <v>0</v>
      </c>
      <c r="D10" s="44">
        <v>1</v>
      </c>
      <c r="E10" s="44">
        <v>1</v>
      </c>
      <c r="F10" s="44">
        <v>1</v>
      </c>
      <c r="G10" s="44">
        <v>0</v>
      </c>
      <c r="H10" s="45">
        <f t="shared" si="0"/>
        <v>3</v>
      </c>
    </row>
    <row r="11" spans="1:8" ht="12.75">
      <c r="A11" s="67">
        <v>7</v>
      </c>
      <c r="B11" s="18" t="s">
        <v>36</v>
      </c>
      <c r="C11" s="44">
        <v>1</v>
      </c>
      <c r="D11" s="44">
        <v>1</v>
      </c>
      <c r="E11" s="44">
        <v>1</v>
      </c>
      <c r="F11" s="44">
        <v>1</v>
      </c>
      <c r="G11" s="44">
        <v>1</v>
      </c>
      <c r="H11" s="45">
        <f t="shared" si="0"/>
        <v>5</v>
      </c>
    </row>
    <row r="12" spans="1:8" ht="12.75">
      <c r="A12" s="67">
        <v>8</v>
      </c>
      <c r="B12" s="18" t="s">
        <v>37</v>
      </c>
      <c r="C12" s="44">
        <v>1</v>
      </c>
      <c r="D12" s="44">
        <v>1</v>
      </c>
      <c r="E12" s="44">
        <v>1</v>
      </c>
      <c r="F12" s="44">
        <v>1</v>
      </c>
      <c r="G12" s="44">
        <v>0</v>
      </c>
      <c r="H12" s="45">
        <f t="shared" si="0"/>
        <v>4</v>
      </c>
    </row>
    <row r="13" spans="1:8" ht="12.75">
      <c r="A13" s="67">
        <v>9</v>
      </c>
      <c r="B13" s="18" t="s">
        <v>38</v>
      </c>
      <c r="C13" s="44">
        <v>1</v>
      </c>
      <c r="D13" s="44">
        <v>1</v>
      </c>
      <c r="E13" s="44">
        <v>1</v>
      </c>
      <c r="F13" s="44">
        <v>1</v>
      </c>
      <c r="G13" s="44">
        <v>0</v>
      </c>
      <c r="H13" s="45">
        <f t="shared" si="0"/>
        <v>4</v>
      </c>
    </row>
    <row r="14" spans="1:8" ht="12.75">
      <c r="A14" s="67">
        <v>10</v>
      </c>
      <c r="B14" s="18" t="s">
        <v>39</v>
      </c>
      <c r="C14" s="44">
        <v>1</v>
      </c>
      <c r="D14" s="44">
        <v>1</v>
      </c>
      <c r="E14" s="44">
        <v>1</v>
      </c>
      <c r="F14" s="44">
        <v>1</v>
      </c>
      <c r="G14" s="44">
        <v>0</v>
      </c>
      <c r="H14" s="45">
        <f t="shared" si="0"/>
        <v>4</v>
      </c>
    </row>
    <row r="15" spans="1:8" ht="12.75">
      <c r="A15" s="67">
        <v>11</v>
      </c>
      <c r="B15" s="18" t="s">
        <v>40</v>
      </c>
      <c r="C15" s="44">
        <v>0</v>
      </c>
      <c r="D15" s="44">
        <v>1</v>
      </c>
      <c r="E15" s="44">
        <v>1</v>
      </c>
      <c r="F15" s="44">
        <v>1</v>
      </c>
      <c r="G15" s="44">
        <v>0</v>
      </c>
      <c r="H15" s="45">
        <f t="shared" si="0"/>
        <v>3</v>
      </c>
    </row>
    <row r="16" spans="1:8" ht="12.75">
      <c r="A16" s="67">
        <v>12</v>
      </c>
      <c r="B16" s="18" t="s">
        <v>41</v>
      </c>
      <c r="C16" s="44">
        <v>1</v>
      </c>
      <c r="D16" s="44">
        <v>1</v>
      </c>
      <c r="E16" s="44">
        <v>1</v>
      </c>
      <c r="F16" s="44">
        <v>1</v>
      </c>
      <c r="G16" s="44">
        <v>0</v>
      </c>
      <c r="H16" s="45">
        <f t="shared" si="0"/>
        <v>4</v>
      </c>
    </row>
    <row r="17" spans="1:8" ht="12.75">
      <c r="A17" s="67">
        <v>13</v>
      </c>
      <c r="B17" s="18" t="s">
        <v>42</v>
      </c>
      <c r="C17" s="44">
        <v>1</v>
      </c>
      <c r="D17" s="44">
        <v>1</v>
      </c>
      <c r="E17" s="44">
        <v>1</v>
      </c>
      <c r="F17" s="44">
        <v>1</v>
      </c>
      <c r="G17" s="44">
        <v>0</v>
      </c>
      <c r="H17" s="45">
        <f t="shared" si="0"/>
        <v>4</v>
      </c>
    </row>
    <row r="18" spans="1:8" ht="12.75">
      <c r="A18" s="67">
        <v>14</v>
      </c>
      <c r="B18" s="18" t="s">
        <v>43</v>
      </c>
      <c r="C18" s="44">
        <v>1</v>
      </c>
      <c r="D18" s="44">
        <v>1</v>
      </c>
      <c r="E18" s="44">
        <v>1</v>
      </c>
      <c r="F18" s="44">
        <v>1</v>
      </c>
      <c r="G18" s="44">
        <v>1</v>
      </c>
      <c r="H18" s="45">
        <f t="shared" si="0"/>
        <v>5</v>
      </c>
    </row>
    <row r="19" spans="1:8" ht="12.75">
      <c r="A19" s="67">
        <v>15</v>
      </c>
      <c r="B19" s="18" t="s">
        <v>44</v>
      </c>
      <c r="C19" s="44">
        <v>0</v>
      </c>
      <c r="D19" s="44">
        <v>1</v>
      </c>
      <c r="E19" s="44">
        <v>1</v>
      </c>
      <c r="F19" s="44">
        <v>1</v>
      </c>
      <c r="G19" s="44">
        <v>0</v>
      </c>
      <c r="H19" s="45">
        <f t="shared" si="0"/>
        <v>3</v>
      </c>
    </row>
    <row r="20" spans="1:8" ht="12.75">
      <c r="A20" s="67">
        <v>16</v>
      </c>
      <c r="B20" s="18" t="s">
        <v>45</v>
      </c>
      <c r="C20" s="44">
        <v>1</v>
      </c>
      <c r="D20" s="44">
        <v>1</v>
      </c>
      <c r="E20" s="44">
        <v>1</v>
      </c>
      <c r="F20" s="44">
        <v>1</v>
      </c>
      <c r="G20" s="44">
        <v>1</v>
      </c>
      <c r="H20" s="45">
        <f t="shared" si="0"/>
        <v>5</v>
      </c>
    </row>
    <row r="21" spans="1:8" ht="12.75">
      <c r="A21" s="67">
        <v>17</v>
      </c>
      <c r="B21" s="18" t="s">
        <v>46</v>
      </c>
      <c r="C21" s="44">
        <v>1</v>
      </c>
      <c r="D21" s="44">
        <v>1</v>
      </c>
      <c r="E21" s="44">
        <v>1</v>
      </c>
      <c r="F21" s="44">
        <v>1</v>
      </c>
      <c r="G21" s="44">
        <v>0</v>
      </c>
      <c r="H21" s="45">
        <f t="shared" si="0"/>
        <v>4</v>
      </c>
    </row>
    <row r="22" spans="1:8" ht="12.75">
      <c r="A22" s="67">
        <v>18</v>
      </c>
      <c r="B22" s="18" t="s">
        <v>47</v>
      </c>
      <c r="C22" s="44">
        <v>1</v>
      </c>
      <c r="D22" s="44">
        <v>1</v>
      </c>
      <c r="E22" s="44">
        <v>1</v>
      </c>
      <c r="F22" s="44">
        <v>1</v>
      </c>
      <c r="G22" s="44">
        <v>0</v>
      </c>
      <c r="H22" s="45">
        <f t="shared" si="0"/>
        <v>4</v>
      </c>
    </row>
    <row r="23" spans="1:8" ht="12.75">
      <c r="A23" s="67">
        <v>19</v>
      </c>
      <c r="B23" s="18" t="s">
        <v>48</v>
      </c>
      <c r="C23" s="44">
        <v>1</v>
      </c>
      <c r="D23" s="44">
        <v>1</v>
      </c>
      <c r="E23" s="44">
        <v>1</v>
      </c>
      <c r="F23" s="44">
        <v>1</v>
      </c>
      <c r="G23" s="44">
        <v>0</v>
      </c>
      <c r="H23" s="45">
        <f t="shared" si="0"/>
        <v>4</v>
      </c>
    </row>
    <row r="24" spans="1:8" ht="12.75">
      <c r="A24" s="67">
        <v>20</v>
      </c>
      <c r="B24" s="18" t="s">
        <v>49</v>
      </c>
      <c r="C24" s="44">
        <v>0</v>
      </c>
      <c r="D24" s="44">
        <v>1</v>
      </c>
      <c r="E24" s="44">
        <v>1</v>
      </c>
      <c r="F24" s="44">
        <v>1</v>
      </c>
      <c r="G24" s="44">
        <v>0</v>
      </c>
      <c r="H24" s="45">
        <f t="shared" si="0"/>
        <v>3</v>
      </c>
    </row>
    <row r="25" spans="1:8" ht="12.75">
      <c r="A25" s="67">
        <v>21</v>
      </c>
      <c r="B25" s="18" t="s">
        <v>50</v>
      </c>
      <c r="C25" s="44">
        <v>1</v>
      </c>
      <c r="D25" s="44">
        <v>1</v>
      </c>
      <c r="E25" s="44">
        <v>1</v>
      </c>
      <c r="F25" s="44">
        <v>1</v>
      </c>
      <c r="G25" s="44">
        <v>1</v>
      </c>
      <c r="H25" s="45">
        <f t="shared" si="0"/>
        <v>5</v>
      </c>
    </row>
    <row r="26" spans="1:8" ht="12.75">
      <c r="A26" s="67">
        <v>22</v>
      </c>
      <c r="B26" s="18" t="s">
        <v>51</v>
      </c>
      <c r="C26" s="44">
        <v>0</v>
      </c>
      <c r="D26" s="44">
        <v>1</v>
      </c>
      <c r="E26" s="44">
        <v>1</v>
      </c>
      <c r="F26" s="44">
        <v>1</v>
      </c>
      <c r="G26" s="44">
        <v>0</v>
      </c>
      <c r="H26" s="45">
        <f t="shared" si="0"/>
        <v>3</v>
      </c>
    </row>
    <row r="27" spans="1:8" ht="12.75">
      <c r="A27" s="67">
        <v>23</v>
      </c>
      <c r="B27" s="18" t="s">
        <v>52</v>
      </c>
      <c r="C27" s="44">
        <v>0</v>
      </c>
      <c r="D27" s="44">
        <v>1</v>
      </c>
      <c r="E27" s="44">
        <v>1</v>
      </c>
      <c r="F27" s="44">
        <v>1</v>
      </c>
      <c r="G27" s="44">
        <v>1</v>
      </c>
      <c r="H27" s="45">
        <f t="shared" si="0"/>
        <v>4</v>
      </c>
    </row>
    <row r="28" spans="1:8" ht="12.75">
      <c r="A28" s="67">
        <v>24</v>
      </c>
      <c r="B28" s="18" t="s">
        <v>53</v>
      </c>
      <c r="C28" s="44">
        <v>1</v>
      </c>
      <c r="D28" s="44">
        <v>1</v>
      </c>
      <c r="E28" s="44">
        <v>1</v>
      </c>
      <c r="F28" s="44">
        <v>1</v>
      </c>
      <c r="G28" s="44">
        <v>1</v>
      </c>
      <c r="H28" s="45">
        <f t="shared" si="0"/>
        <v>5</v>
      </c>
    </row>
    <row r="29" spans="1:8" ht="12.75">
      <c r="A29" s="67">
        <v>25</v>
      </c>
      <c r="B29" s="18" t="s">
        <v>54</v>
      </c>
      <c r="C29" s="44">
        <v>0</v>
      </c>
      <c r="D29" s="44">
        <v>1</v>
      </c>
      <c r="E29" s="44">
        <v>1</v>
      </c>
      <c r="F29" s="44">
        <v>1</v>
      </c>
      <c r="G29" s="44">
        <v>0</v>
      </c>
      <c r="H29" s="45">
        <f t="shared" si="0"/>
        <v>3</v>
      </c>
    </row>
    <row r="30" spans="1:8" ht="12.75">
      <c r="A30" s="67">
        <v>26</v>
      </c>
      <c r="B30" s="18" t="s">
        <v>55</v>
      </c>
      <c r="C30" s="44">
        <v>1</v>
      </c>
      <c r="D30" s="44">
        <v>1</v>
      </c>
      <c r="E30" s="44">
        <v>1</v>
      </c>
      <c r="F30" s="44">
        <v>1</v>
      </c>
      <c r="G30" s="44">
        <v>0</v>
      </c>
      <c r="H30" s="45">
        <f t="shared" si="0"/>
        <v>4</v>
      </c>
    </row>
    <row r="31" spans="1:8" ht="12.75">
      <c r="A31" s="67">
        <v>27</v>
      </c>
      <c r="B31" s="18" t="s">
        <v>56</v>
      </c>
      <c r="C31" s="44">
        <v>1</v>
      </c>
      <c r="D31" s="44">
        <v>1</v>
      </c>
      <c r="E31" s="44">
        <v>1</v>
      </c>
      <c r="F31" s="44">
        <v>1</v>
      </c>
      <c r="G31" s="44">
        <v>1</v>
      </c>
      <c r="H31" s="45">
        <f t="shared" si="0"/>
        <v>5</v>
      </c>
    </row>
    <row r="32" spans="1:8" ht="12.75">
      <c r="A32" s="67">
        <v>28</v>
      </c>
      <c r="B32" s="18" t="s">
        <v>57</v>
      </c>
      <c r="C32" s="44">
        <v>1</v>
      </c>
      <c r="D32" s="44">
        <v>1</v>
      </c>
      <c r="E32" s="44">
        <v>1</v>
      </c>
      <c r="F32" s="44">
        <v>1</v>
      </c>
      <c r="G32" s="44">
        <v>1</v>
      </c>
      <c r="H32" s="45">
        <f t="shared" si="0"/>
        <v>5</v>
      </c>
    </row>
    <row r="33" spans="1:8" ht="12.75">
      <c r="A33" s="67">
        <v>29</v>
      </c>
      <c r="B33" s="18" t="s">
        <v>58</v>
      </c>
      <c r="C33" s="44">
        <v>1</v>
      </c>
      <c r="D33" s="44">
        <v>1</v>
      </c>
      <c r="E33" s="44">
        <v>1</v>
      </c>
      <c r="F33" s="44">
        <v>1</v>
      </c>
      <c r="G33" s="44">
        <v>0</v>
      </c>
      <c r="H33" s="45">
        <f t="shared" si="0"/>
        <v>4</v>
      </c>
    </row>
    <row r="34" spans="1:8" ht="12.75">
      <c r="A34" s="67">
        <v>30</v>
      </c>
      <c r="B34" s="18" t="s">
        <v>59</v>
      </c>
      <c r="C34" s="44">
        <v>1</v>
      </c>
      <c r="D34" s="44">
        <v>1</v>
      </c>
      <c r="E34" s="44">
        <v>1</v>
      </c>
      <c r="F34" s="44">
        <v>1</v>
      </c>
      <c r="G34" s="44">
        <v>0</v>
      </c>
      <c r="H34" s="45">
        <f t="shared" si="0"/>
        <v>4</v>
      </c>
    </row>
    <row r="35" spans="1:8" ht="12.75">
      <c r="A35" s="67">
        <v>31</v>
      </c>
      <c r="B35" s="18" t="s">
        <v>60</v>
      </c>
      <c r="C35" s="44">
        <v>1</v>
      </c>
      <c r="D35" s="44">
        <v>1</v>
      </c>
      <c r="E35" s="44">
        <v>1</v>
      </c>
      <c r="F35" s="44">
        <v>1</v>
      </c>
      <c r="G35" s="44">
        <v>0</v>
      </c>
      <c r="H35" s="45">
        <f t="shared" si="0"/>
        <v>4</v>
      </c>
    </row>
    <row r="36" spans="1:8" ht="12.75">
      <c r="A36" s="67">
        <v>32</v>
      </c>
      <c r="B36" s="18" t="s">
        <v>61</v>
      </c>
      <c r="C36" s="44">
        <v>1</v>
      </c>
      <c r="D36" s="44">
        <v>1</v>
      </c>
      <c r="E36" s="44">
        <v>1</v>
      </c>
      <c r="F36" s="44">
        <v>1</v>
      </c>
      <c r="G36" s="44">
        <v>0</v>
      </c>
      <c r="H36" s="45">
        <f t="shared" si="0"/>
        <v>4</v>
      </c>
    </row>
    <row r="37" spans="1:8" ht="12.75">
      <c r="A37" s="67">
        <v>33</v>
      </c>
      <c r="B37" s="18" t="s">
        <v>62</v>
      </c>
      <c r="C37" s="44">
        <v>0</v>
      </c>
      <c r="D37" s="44">
        <v>1</v>
      </c>
      <c r="E37" s="44">
        <v>1</v>
      </c>
      <c r="F37" s="44">
        <v>1</v>
      </c>
      <c r="G37" s="44">
        <v>0</v>
      </c>
      <c r="H37" s="45">
        <f t="shared" si="0"/>
        <v>3</v>
      </c>
    </row>
    <row r="38" spans="1:8" ht="12.75">
      <c r="A38" s="67">
        <v>34</v>
      </c>
      <c r="B38" s="18" t="s">
        <v>63</v>
      </c>
      <c r="C38" s="44">
        <v>1</v>
      </c>
      <c r="D38" s="44">
        <v>1</v>
      </c>
      <c r="E38" s="44">
        <v>1</v>
      </c>
      <c r="F38" s="44">
        <v>1</v>
      </c>
      <c r="G38" s="44">
        <v>1</v>
      </c>
      <c r="H38" s="45">
        <f t="shared" si="0"/>
        <v>5</v>
      </c>
    </row>
    <row r="39" spans="1:8" ht="12.75">
      <c r="A39" s="67">
        <v>35</v>
      </c>
      <c r="B39" s="18" t="s">
        <v>64</v>
      </c>
      <c r="C39" s="44">
        <v>1</v>
      </c>
      <c r="D39" s="44">
        <v>1</v>
      </c>
      <c r="E39" s="44">
        <v>1</v>
      </c>
      <c r="F39" s="44">
        <v>1</v>
      </c>
      <c r="G39" s="44">
        <v>0</v>
      </c>
      <c r="H39" s="45">
        <f t="shared" si="0"/>
        <v>4</v>
      </c>
    </row>
    <row r="40" spans="1:8" ht="12.75">
      <c r="A40" s="67">
        <v>36</v>
      </c>
      <c r="B40" s="18" t="s">
        <v>65</v>
      </c>
      <c r="C40" s="44">
        <v>0</v>
      </c>
      <c r="D40" s="44">
        <v>1</v>
      </c>
      <c r="E40" s="44">
        <v>1</v>
      </c>
      <c r="F40" s="44">
        <v>1</v>
      </c>
      <c r="G40" s="44">
        <v>0</v>
      </c>
      <c r="H40" s="45">
        <f t="shared" si="0"/>
        <v>3</v>
      </c>
    </row>
    <row r="41" spans="1:8" ht="12.75">
      <c r="A41" s="67">
        <v>37</v>
      </c>
      <c r="B41" s="18" t="s">
        <v>13</v>
      </c>
      <c r="C41" s="44">
        <v>0</v>
      </c>
      <c r="D41" s="44">
        <v>1</v>
      </c>
      <c r="E41" s="44">
        <v>1</v>
      </c>
      <c r="F41" s="44">
        <v>0</v>
      </c>
      <c r="G41" s="44">
        <v>0</v>
      </c>
      <c r="H41" s="45">
        <f t="shared" si="0"/>
        <v>2</v>
      </c>
    </row>
    <row r="42" spans="1:8" ht="12.75">
      <c r="A42" s="67">
        <v>38</v>
      </c>
      <c r="B42" s="18" t="s">
        <v>66</v>
      </c>
      <c r="C42" s="44">
        <v>1</v>
      </c>
      <c r="D42" s="44">
        <v>1</v>
      </c>
      <c r="E42" s="44">
        <v>1</v>
      </c>
      <c r="F42" s="44">
        <v>1</v>
      </c>
      <c r="G42" s="44">
        <v>0</v>
      </c>
      <c r="H42" s="45">
        <f t="shared" si="0"/>
        <v>4</v>
      </c>
    </row>
    <row r="43" spans="1:8" ht="12.75">
      <c r="A43" s="67">
        <v>39</v>
      </c>
      <c r="B43" s="18" t="s">
        <v>67</v>
      </c>
      <c r="C43" s="44">
        <v>1</v>
      </c>
      <c r="D43" s="44">
        <v>1</v>
      </c>
      <c r="E43" s="44">
        <v>1</v>
      </c>
      <c r="F43" s="44">
        <v>1</v>
      </c>
      <c r="G43" s="44">
        <v>0</v>
      </c>
      <c r="H43" s="45">
        <f t="shared" si="0"/>
        <v>4</v>
      </c>
    </row>
    <row r="44" spans="1:8" ht="12.75">
      <c r="A44" s="67">
        <v>40</v>
      </c>
      <c r="B44" s="18" t="s">
        <v>68</v>
      </c>
      <c r="C44" s="44">
        <v>0</v>
      </c>
      <c r="D44" s="44">
        <v>1</v>
      </c>
      <c r="E44" s="44">
        <v>1</v>
      </c>
      <c r="F44" s="44">
        <v>1</v>
      </c>
      <c r="G44" s="44">
        <v>0</v>
      </c>
      <c r="H44" s="45">
        <f t="shared" si="0"/>
        <v>3</v>
      </c>
    </row>
    <row r="45" spans="1:8" ht="12.75">
      <c r="A45" s="67">
        <v>41</v>
      </c>
      <c r="B45" s="18" t="s">
        <v>69</v>
      </c>
      <c r="C45" s="44">
        <v>0</v>
      </c>
      <c r="D45" s="44">
        <v>0</v>
      </c>
      <c r="E45" s="44">
        <v>0</v>
      </c>
      <c r="F45" s="44">
        <v>1</v>
      </c>
      <c r="G45" s="44">
        <v>0</v>
      </c>
      <c r="H45" s="45">
        <f t="shared" si="0"/>
        <v>1</v>
      </c>
    </row>
    <row r="46" spans="1:8" ht="12.75">
      <c r="A46" s="67">
        <v>42</v>
      </c>
      <c r="B46" s="18" t="s">
        <v>70</v>
      </c>
      <c r="C46" s="44">
        <v>1</v>
      </c>
      <c r="D46" s="44">
        <v>1</v>
      </c>
      <c r="E46" s="44">
        <v>1</v>
      </c>
      <c r="F46" s="44">
        <v>1</v>
      </c>
      <c r="G46" s="44">
        <v>0</v>
      </c>
      <c r="H46" s="45">
        <f t="shared" si="0"/>
        <v>4</v>
      </c>
    </row>
    <row r="47" spans="1:8" ht="12.75">
      <c r="A47" s="67">
        <v>43</v>
      </c>
      <c r="B47" s="18" t="s">
        <v>71</v>
      </c>
      <c r="C47" s="44">
        <v>1</v>
      </c>
      <c r="D47" s="44">
        <v>1</v>
      </c>
      <c r="E47" s="44">
        <v>1</v>
      </c>
      <c r="F47" s="44">
        <v>1</v>
      </c>
      <c r="G47" s="44">
        <v>0</v>
      </c>
      <c r="H47" s="45">
        <f t="shared" si="0"/>
        <v>4</v>
      </c>
    </row>
    <row r="48" spans="1:8" ht="12.75">
      <c r="A48" s="67">
        <v>44</v>
      </c>
      <c r="B48" s="18" t="s">
        <v>1</v>
      </c>
      <c r="C48" s="44">
        <v>1</v>
      </c>
      <c r="D48" s="44">
        <v>0</v>
      </c>
      <c r="E48" s="44">
        <v>0</v>
      </c>
      <c r="F48" s="44">
        <v>0</v>
      </c>
      <c r="G48" s="44">
        <v>0</v>
      </c>
      <c r="H48" s="45">
        <f t="shared" si="0"/>
        <v>1</v>
      </c>
    </row>
    <row r="49" spans="1:8" ht="12.75">
      <c r="A49" s="67">
        <v>45</v>
      </c>
      <c r="B49" s="18" t="s">
        <v>2</v>
      </c>
      <c r="C49" s="44">
        <v>0</v>
      </c>
      <c r="D49" s="44">
        <v>1</v>
      </c>
      <c r="E49" s="44">
        <v>0</v>
      </c>
      <c r="F49" s="44">
        <v>1</v>
      </c>
      <c r="G49" s="44">
        <v>0</v>
      </c>
      <c r="H49" s="45">
        <f t="shared" si="0"/>
        <v>2</v>
      </c>
    </row>
    <row r="50" spans="1:8" ht="12.75">
      <c r="A50" s="67">
        <v>46</v>
      </c>
      <c r="B50" s="18" t="s">
        <v>3</v>
      </c>
      <c r="C50" s="44">
        <v>0</v>
      </c>
      <c r="D50" s="44">
        <v>1</v>
      </c>
      <c r="E50" s="44">
        <v>1</v>
      </c>
      <c r="F50" s="44">
        <v>1</v>
      </c>
      <c r="G50" s="44">
        <v>0</v>
      </c>
      <c r="H50" s="45">
        <f t="shared" si="0"/>
        <v>3</v>
      </c>
    </row>
    <row r="51" spans="1:8" ht="12.75">
      <c r="A51" s="67">
        <v>47</v>
      </c>
      <c r="B51" s="18" t="s">
        <v>4</v>
      </c>
      <c r="C51" s="44">
        <v>0</v>
      </c>
      <c r="D51" s="44">
        <v>1</v>
      </c>
      <c r="E51" s="44">
        <v>1</v>
      </c>
      <c r="F51" s="44">
        <v>1</v>
      </c>
      <c r="G51" s="44">
        <v>1</v>
      </c>
      <c r="H51" s="45">
        <f t="shared" si="0"/>
        <v>4</v>
      </c>
    </row>
    <row r="52" spans="1:8" ht="12.75">
      <c r="A52" s="67">
        <v>48</v>
      </c>
      <c r="B52" s="18" t="s">
        <v>5</v>
      </c>
      <c r="C52" s="44">
        <v>1</v>
      </c>
      <c r="D52" s="44">
        <v>0</v>
      </c>
      <c r="E52" s="44">
        <v>0</v>
      </c>
      <c r="F52" s="44">
        <v>0</v>
      </c>
      <c r="G52" s="44">
        <v>0</v>
      </c>
      <c r="H52" s="45">
        <f t="shared" si="0"/>
        <v>1</v>
      </c>
    </row>
    <row r="53" spans="1:8" ht="12.75">
      <c r="A53" s="67">
        <v>49</v>
      </c>
      <c r="B53" s="18" t="s">
        <v>6</v>
      </c>
      <c r="C53" s="44">
        <v>1</v>
      </c>
      <c r="D53" s="44">
        <v>0</v>
      </c>
      <c r="E53" s="44">
        <v>0</v>
      </c>
      <c r="F53" s="44">
        <v>0</v>
      </c>
      <c r="G53" s="44">
        <v>0</v>
      </c>
      <c r="H53" s="45">
        <f t="shared" si="0"/>
        <v>1</v>
      </c>
    </row>
    <row r="54" spans="1:8" ht="12.75">
      <c r="A54" s="67">
        <v>50</v>
      </c>
      <c r="B54" s="18" t="s">
        <v>7</v>
      </c>
      <c r="C54" s="44">
        <v>0</v>
      </c>
      <c r="D54" s="44">
        <v>0</v>
      </c>
      <c r="E54" s="44">
        <v>0</v>
      </c>
      <c r="F54" s="44">
        <v>0</v>
      </c>
      <c r="G54" s="44">
        <v>1</v>
      </c>
      <c r="H54" s="45">
        <f t="shared" si="0"/>
        <v>1</v>
      </c>
    </row>
    <row r="55" spans="1:8" ht="12.75">
      <c r="A55" s="67">
        <v>51</v>
      </c>
      <c r="B55" s="18" t="s">
        <v>8</v>
      </c>
      <c r="C55" s="44">
        <v>0</v>
      </c>
      <c r="D55" s="44">
        <v>1</v>
      </c>
      <c r="E55" s="44">
        <v>1</v>
      </c>
      <c r="F55" s="44">
        <v>1</v>
      </c>
      <c r="G55" s="44">
        <v>0</v>
      </c>
      <c r="H55" s="45">
        <f t="shared" si="0"/>
        <v>3</v>
      </c>
    </row>
    <row r="56" spans="1:8" ht="12.75">
      <c r="A56" s="67">
        <v>52</v>
      </c>
      <c r="B56" s="18" t="s">
        <v>9</v>
      </c>
      <c r="C56" s="44">
        <v>1</v>
      </c>
      <c r="D56" s="44">
        <v>0</v>
      </c>
      <c r="E56" s="44">
        <v>0</v>
      </c>
      <c r="F56" s="44">
        <v>0</v>
      </c>
      <c r="G56" s="44">
        <v>0</v>
      </c>
      <c r="H56" s="45">
        <f t="shared" si="0"/>
        <v>1</v>
      </c>
    </row>
    <row r="57" spans="1:8" ht="12.75">
      <c r="A57" s="67">
        <v>53</v>
      </c>
      <c r="B57" s="18" t="s">
        <v>10</v>
      </c>
      <c r="C57" s="44">
        <v>1</v>
      </c>
      <c r="D57" s="44">
        <v>0</v>
      </c>
      <c r="E57" s="44">
        <v>0</v>
      </c>
      <c r="F57" s="44">
        <v>0</v>
      </c>
      <c r="G57" s="44">
        <v>0</v>
      </c>
      <c r="H57" s="45">
        <f t="shared" si="0"/>
        <v>1</v>
      </c>
    </row>
    <row r="58" spans="1:8" ht="13.5" thickBot="1">
      <c r="A58" s="68">
        <v>54</v>
      </c>
      <c r="B58" s="19" t="s">
        <v>11</v>
      </c>
      <c r="C58" s="46">
        <v>0</v>
      </c>
      <c r="D58" s="46">
        <v>1</v>
      </c>
      <c r="E58" s="46">
        <v>1</v>
      </c>
      <c r="F58" s="46">
        <v>1</v>
      </c>
      <c r="G58" s="46">
        <v>0</v>
      </c>
      <c r="H58" s="47">
        <f t="shared" si="0"/>
        <v>3</v>
      </c>
    </row>
    <row r="59" spans="1:8" ht="13.5" thickBot="1">
      <c r="A59" s="241" t="s">
        <v>137</v>
      </c>
      <c r="B59" s="241"/>
      <c r="C59" s="48">
        <f>SUM(C5:C58)</f>
        <v>36</v>
      </c>
      <c r="D59" s="48">
        <f>SUM(D5:D58)</f>
        <v>46</v>
      </c>
      <c r="E59" s="48">
        <f>SUM(E5:E58)</f>
        <v>45</v>
      </c>
      <c r="F59" s="48">
        <f>SUM(F5:F58)</f>
        <v>47</v>
      </c>
      <c r="G59" s="48">
        <f>SUM(G5:G58)</f>
        <v>13</v>
      </c>
      <c r="H59" s="48">
        <f t="shared" si="0"/>
        <v>187</v>
      </c>
    </row>
  </sheetData>
  <sheetProtection/>
  <mergeCells count="1">
    <mergeCell ref="A59:B59"/>
  </mergeCells>
  <printOptions horizontalCentered="1"/>
  <pageMargins left="0" right="0" top="0.5" bottom="0.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H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8515625" style="40" customWidth="1"/>
    <col min="2" max="8" width="14.7109375" style="40" customWidth="1"/>
    <col min="9" max="16384" width="9.140625" style="40" customWidth="1"/>
  </cols>
  <sheetData>
    <row r="1" ht="19.5" customHeight="1">
      <c r="A1" s="63" t="s">
        <v>144</v>
      </c>
    </row>
    <row r="2" ht="12.75">
      <c r="A2" s="6" t="s">
        <v>140</v>
      </c>
    </row>
    <row r="3" ht="6.75" customHeight="1" thickBot="1"/>
    <row r="4" spans="2:8" ht="13.5" thickBot="1">
      <c r="B4" s="53">
        <v>2001</v>
      </c>
      <c r="C4" s="53">
        <v>2002</v>
      </c>
      <c r="D4" s="53">
        <v>2003</v>
      </c>
      <c r="E4" s="53">
        <v>2004</v>
      </c>
      <c r="F4" s="53">
        <v>2005</v>
      </c>
      <c r="G4" s="53">
        <v>2006</v>
      </c>
      <c r="H4" s="53">
        <v>2007</v>
      </c>
    </row>
    <row r="5" spans="1:8" ht="12.75">
      <c r="A5" s="9" t="s">
        <v>145</v>
      </c>
      <c r="B5" s="61">
        <v>409420000</v>
      </c>
      <c r="C5" s="61">
        <v>455678000</v>
      </c>
      <c r="D5" s="61">
        <v>516309000</v>
      </c>
      <c r="E5" s="61">
        <v>582782000</v>
      </c>
      <c r="F5" s="61">
        <v>629775000</v>
      </c>
      <c r="G5" s="61">
        <v>661823000</v>
      </c>
      <c r="H5" s="61">
        <v>776255000</v>
      </c>
    </row>
    <row r="6" spans="1:8" ht="12.75">
      <c r="A6" s="10" t="s">
        <v>146</v>
      </c>
      <c r="B6" s="56">
        <v>226265000</v>
      </c>
      <c r="C6" s="56">
        <v>194270000</v>
      </c>
      <c r="D6" s="56">
        <v>217952000</v>
      </c>
      <c r="E6" s="56">
        <v>246026000</v>
      </c>
      <c r="F6" s="56">
        <v>261663000</v>
      </c>
      <c r="G6" s="56">
        <v>247388000</v>
      </c>
      <c r="H6" s="56">
        <v>320136000</v>
      </c>
    </row>
    <row r="7" spans="1:8" ht="12.75">
      <c r="A7" s="10" t="s">
        <v>147</v>
      </c>
      <c r="B7" s="56">
        <v>113266000</v>
      </c>
      <c r="C7" s="56">
        <v>129326000</v>
      </c>
      <c r="D7" s="56">
        <v>137417000</v>
      </c>
      <c r="E7" s="56">
        <v>130877000</v>
      </c>
      <c r="F7" s="56">
        <v>141831000</v>
      </c>
      <c r="G7" s="56">
        <v>141708000</v>
      </c>
      <c r="H7" s="56">
        <v>145744000</v>
      </c>
    </row>
    <row r="8" spans="1:8" ht="13.5" thickBot="1">
      <c r="A8" s="11" t="s">
        <v>389</v>
      </c>
      <c r="B8" s="58">
        <v>19602000</v>
      </c>
      <c r="C8" s="58">
        <v>25189000</v>
      </c>
      <c r="D8" s="58">
        <v>25451000</v>
      </c>
      <c r="E8" s="58">
        <v>6862000</v>
      </c>
      <c r="F8" s="58">
        <v>33208000</v>
      </c>
      <c r="G8" s="58">
        <v>51215000</v>
      </c>
      <c r="H8" s="58">
        <v>47220000</v>
      </c>
    </row>
    <row r="9" spans="1:8" ht="13.5" thickBot="1">
      <c r="A9" s="240"/>
      <c r="B9" s="240"/>
      <c r="C9" s="240"/>
      <c r="D9" s="240"/>
      <c r="E9" s="240"/>
      <c r="F9" s="240"/>
      <c r="G9" s="240"/>
      <c r="H9" s="240"/>
    </row>
    <row r="10" spans="1:8" ht="12.75">
      <c r="A10" s="14" t="s">
        <v>148</v>
      </c>
      <c r="B10" s="60">
        <v>312131000</v>
      </c>
      <c r="C10" s="60">
        <v>331631000</v>
      </c>
      <c r="D10" s="60">
        <v>380424000</v>
      </c>
      <c r="E10" s="60">
        <v>408466000</v>
      </c>
      <c r="F10" s="60">
        <v>441919000</v>
      </c>
      <c r="G10" s="60">
        <v>459283000</v>
      </c>
      <c r="H10" s="60">
        <v>503330000</v>
      </c>
    </row>
    <row r="11" spans="1:8" ht="12.75">
      <c r="A11" s="15" t="s">
        <v>149</v>
      </c>
      <c r="B11" s="55">
        <v>201063000</v>
      </c>
      <c r="C11" s="55">
        <v>168209000</v>
      </c>
      <c r="D11" s="55">
        <v>184794000</v>
      </c>
      <c r="E11" s="55">
        <v>208162000</v>
      </c>
      <c r="F11" s="55">
        <v>224585000</v>
      </c>
      <c r="G11" s="55">
        <v>212931000</v>
      </c>
      <c r="H11" s="55">
        <v>260312000</v>
      </c>
    </row>
    <row r="12" spans="1:8" ht="13.5" thickBot="1">
      <c r="A12" s="16" t="s">
        <v>150</v>
      </c>
      <c r="B12" s="57">
        <v>90308000</v>
      </c>
      <c r="C12" s="57">
        <v>104640000</v>
      </c>
      <c r="D12" s="57">
        <v>115000000</v>
      </c>
      <c r="E12" s="57">
        <v>113290000</v>
      </c>
      <c r="F12" s="57">
        <v>120287000</v>
      </c>
      <c r="G12" s="57">
        <v>112160000</v>
      </c>
      <c r="H12" s="57">
        <v>112712000</v>
      </c>
    </row>
    <row r="13" spans="1:8" ht="13.5" thickBot="1">
      <c r="A13" s="240"/>
      <c r="B13" s="240"/>
      <c r="C13" s="240"/>
      <c r="D13" s="240"/>
      <c r="E13" s="240"/>
      <c r="F13" s="240"/>
      <c r="G13" s="240"/>
      <c r="H13" s="240"/>
    </row>
    <row r="14" spans="1:8" ht="12.75">
      <c r="A14" s="14" t="s">
        <v>151</v>
      </c>
      <c r="B14" s="60">
        <v>97289000</v>
      </c>
      <c r="C14" s="60">
        <v>124047000</v>
      </c>
      <c r="D14" s="60">
        <v>135885000</v>
      </c>
      <c r="E14" s="60">
        <v>174316000</v>
      </c>
      <c r="F14" s="60">
        <v>187856000</v>
      </c>
      <c r="G14" s="60">
        <v>202540000</v>
      </c>
      <c r="H14" s="60">
        <v>272925000</v>
      </c>
    </row>
    <row r="15" spans="1:8" ht="12.75">
      <c r="A15" s="15" t="s">
        <v>152</v>
      </c>
      <c r="B15" s="55">
        <v>25202000</v>
      </c>
      <c r="C15" s="55">
        <v>26061000</v>
      </c>
      <c r="D15" s="55">
        <v>33158000</v>
      </c>
      <c r="E15" s="55">
        <v>37864000</v>
      </c>
      <c r="F15" s="55">
        <v>37078000</v>
      </c>
      <c r="G15" s="55">
        <v>34457000</v>
      </c>
      <c r="H15" s="55">
        <v>59824000</v>
      </c>
    </row>
    <row r="16" spans="1:8" ht="13.5" thickBot="1">
      <c r="A16" s="16" t="s">
        <v>153</v>
      </c>
      <c r="B16" s="57">
        <v>22958000</v>
      </c>
      <c r="C16" s="57">
        <v>24686000</v>
      </c>
      <c r="D16" s="57">
        <v>22417000</v>
      </c>
      <c r="E16" s="57">
        <v>17587000</v>
      </c>
      <c r="F16" s="57">
        <v>21544000</v>
      </c>
      <c r="G16" s="57">
        <v>29548000</v>
      </c>
      <c r="H16" s="57">
        <v>33032000</v>
      </c>
    </row>
    <row r="17" spans="1:8" ht="13.5" thickBot="1">
      <c r="A17" s="240"/>
      <c r="B17" s="240"/>
      <c r="C17" s="240"/>
      <c r="D17" s="240"/>
      <c r="E17" s="240"/>
      <c r="F17" s="240"/>
      <c r="G17" s="240"/>
      <c r="H17" s="240"/>
    </row>
    <row r="18" spans="1:8" ht="13.5" thickBot="1">
      <c r="A18" s="69" t="s">
        <v>154</v>
      </c>
      <c r="B18" s="62">
        <v>795534000</v>
      </c>
      <c r="C18" s="62">
        <v>838887000</v>
      </c>
      <c r="D18" s="62">
        <v>998605000</v>
      </c>
      <c r="E18" s="62">
        <v>1246345000</v>
      </c>
      <c r="F18" s="62">
        <v>1413920000</v>
      </c>
      <c r="G18" s="62">
        <v>1555184000</v>
      </c>
      <c r="H18" s="62">
        <v>1901581000</v>
      </c>
    </row>
    <row r="19" spans="1:8" ht="13.5" thickBot="1">
      <c r="A19" s="240"/>
      <c r="B19" s="240"/>
      <c r="C19" s="240"/>
      <c r="D19" s="240"/>
      <c r="E19" s="240"/>
      <c r="F19" s="240"/>
      <c r="G19" s="240"/>
      <c r="H19" s="240"/>
    </row>
    <row r="20" spans="1:8" ht="12.75">
      <c r="A20" s="14" t="s">
        <v>155</v>
      </c>
      <c r="B20" s="60">
        <v>249435000</v>
      </c>
      <c r="C20" s="60">
        <v>302925000</v>
      </c>
      <c r="D20" s="60">
        <v>393934000</v>
      </c>
      <c r="E20" s="60">
        <v>589284000</v>
      </c>
      <c r="F20" s="60">
        <v>678479000</v>
      </c>
      <c r="G20" s="60">
        <v>789431000</v>
      </c>
      <c r="H20" s="60">
        <v>1019064000</v>
      </c>
    </row>
    <row r="21" spans="1:8" ht="13.5" thickBot="1">
      <c r="A21" s="33" t="s">
        <v>156</v>
      </c>
      <c r="B21" s="59">
        <v>59579000</v>
      </c>
      <c r="C21" s="59">
        <v>65286000</v>
      </c>
      <c r="D21" s="59">
        <v>72800000</v>
      </c>
      <c r="E21" s="59">
        <v>87095000</v>
      </c>
      <c r="F21" s="59">
        <v>93687000</v>
      </c>
      <c r="G21" s="59">
        <v>124025000</v>
      </c>
      <c r="H21" s="59">
        <v>134305000</v>
      </c>
    </row>
    <row r="22" spans="1:8" ht="13.5" thickBot="1">
      <c r="A22" s="69" t="s">
        <v>157</v>
      </c>
      <c r="B22" s="62">
        <f aca="true" t="shared" si="0" ref="B22:H22">SUM(B20:B21)</f>
        <v>309014000</v>
      </c>
      <c r="C22" s="62">
        <f t="shared" si="0"/>
        <v>368211000</v>
      </c>
      <c r="D22" s="62">
        <f t="shared" si="0"/>
        <v>466734000</v>
      </c>
      <c r="E22" s="62">
        <f t="shared" si="0"/>
        <v>676379000</v>
      </c>
      <c r="F22" s="62">
        <f t="shared" si="0"/>
        <v>772166000</v>
      </c>
      <c r="G22" s="62">
        <f t="shared" si="0"/>
        <v>913456000</v>
      </c>
      <c r="H22" s="62">
        <f t="shared" si="0"/>
        <v>1153369000</v>
      </c>
    </row>
    <row r="23" spans="1:8" ht="13.5" thickBot="1">
      <c r="A23" s="240"/>
      <c r="B23" s="240"/>
      <c r="C23" s="240"/>
      <c r="D23" s="240"/>
      <c r="E23" s="240"/>
      <c r="F23" s="240"/>
      <c r="G23" s="240"/>
      <c r="H23" s="240"/>
    </row>
    <row r="24" spans="1:8" ht="13.5" thickBot="1">
      <c r="A24" s="69" t="s">
        <v>158</v>
      </c>
      <c r="B24" s="62">
        <v>227774000</v>
      </c>
      <c r="C24" s="62">
        <v>236188000</v>
      </c>
      <c r="D24" s="62">
        <v>268990000</v>
      </c>
      <c r="E24" s="62">
        <v>274273000</v>
      </c>
      <c r="F24" s="62">
        <v>318780000</v>
      </c>
      <c r="G24" s="62">
        <v>373196000</v>
      </c>
      <c r="H24" s="62">
        <v>448742000</v>
      </c>
    </row>
    <row r="25" spans="1:8" ht="13.5" thickBot="1">
      <c r="A25" s="240"/>
      <c r="B25" s="240"/>
      <c r="C25" s="240"/>
      <c r="D25" s="240"/>
      <c r="E25" s="240"/>
      <c r="F25" s="240"/>
      <c r="G25" s="240"/>
      <c r="H25" s="240"/>
    </row>
    <row r="26" spans="1:8" ht="13.5" thickBot="1">
      <c r="A26" s="69" t="s">
        <v>159</v>
      </c>
      <c r="B26" s="62">
        <v>158100000</v>
      </c>
      <c r="C26" s="62">
        <v>161319000</v>
      </c>
      <c r="D26" s="62">
        <v>184739000</v>
      </c>
      <c r="E26" s="62">
        <v>193588000</v>
      </c>
      <c r="F26" s="62">
        <v>214492000</v>
      </c>
      <c r="G26" s="62">
        <v>225755000</v>
      </c>
      <c r="H26" s="62">
        <v>253739000</v>
      </c>
    </row>
    <row r="27" spans="1:8" ht="13.5" thickBot="1">
      <c r="A27" s="240"/>
      <c r="B27" s="240"/>
      <c r="C27" s="240"/>
      <c r="D27" s="240"/>
      <c r="E27" s="240"/>
      <c r="F27" s="240"/>
      <c r="G27" s="240"/>
      <c r="H27" s="240"/>
    </row>
    <row r="28" spans="1:8" ht="12.75">
      <c r="A28" s="14" t="s">
        <v>160</v>
      </c>
      <c r="B28" s="60">
        <v>3</v>
      </c>
      <c r="C28" s="60">
        <v>5</v>
      </c>
      <c r="D28" s="60">
        <v>5</v>
      </c>
      <c r="E28" s="60">
        <v>5</v>
      </c>
      <c r="F28" s="60">
        <v>5</v>
      </c>
      <c r="G28" s="60">
        <v>5</v>
      </c>
      <c r="H28" s="60">
        <v>5</v>
      </c>
    </row>
    <row r="29" spans="1:8" ht="12.75">
      <c r="A29" s="15" t="s">
        <v>161</v>
      </c>
      <c r="B29" s="55">
        <v>18</v>
      </c>
      <c r="C29" s="55">
        <v>19</v>
      </c>
      <c r="D29" s="55">
        <v>18</v>
      </c>
      <c r="E29" s="55">
        <v>18</v>
      </c>
      <c r="F29" s="55">
        <v>18</v>
      </c>
      <c r="G29" s="55">
        <v>18</v>
      </c>
      <c r="H29" s="55">
        <v>18</v>
      </c>
    </row>
    <row r="30" spans="1:8" ht="13.5" thickBot="1">
      <c r="A30" s="16" t="s">
        <v>162</v>
      </c>
      <c r="B30" s="57">
        <v>40</v>
      </c>
      <c r="C30" s="57">
        <v>35</v>
      </c>
      <c r="D30" s="57">
        <v>34</v>
      </c>
      <c r="E30" s="57">
        <v>33</v>
      </c>
      <c r="F30" s="57">
        <v>32</v>
      </c>
      <c r="G30" s="57">
        <v>31</v>
      </c>
      <c r="H30" s="57">
        <v>31</v>
      </c>
    </row>
    <row r="31" spans="1:8" ht="13.5" thickBot="1">
      <c r="A31" s="69" t="s">
        <v>388</v>
      </c>
      <c r="B31" s="62">
        <f aca="true" t="shared" si="1" ref="B31:H31">SUM(B28:B30)</f>
        <v>61</v>
      </c>
      <c r="C31" s="62">
        <f t="shared" si="1"/>
        <v>59</v>
      </c>
      <c r="D31" s="62">
        <f t="shared" si="1"/>
        <v>57</v>
      </c>
      <c r="E31" s="62">
        <f t="shared" si="1"/>
        <v>56</v>
      </c>
      <c r="F31" s="62">
        <f t="shared" si="1"/>
        <v>55</v>
      </c>
      <c r="G31" s="62">
        <f t="shared" si="1"/>
        <v>54</v>
      </c>
      <c r="H31" s="62">
        <f t="shared" si="1"/>
        <v>54</v>
      </c>
    </row>
  </sheetData>
  <sheetProtection/>
  <mergeCells count="7">
    <mergeCell ref="A27:H27"/>
    <mergeCell ref="A9:H9"/>
    <mergeCell ref="A13:H13"/>
    <mergeCell ref="A17:H17"/>
    <mergeCell ref="A19:H19"/>
    <mergeCell ref="A23:H23"/>
    <mergeCell ref="A25:H25"/>
  </mergeCells>
  <printOptions horizontalCentered="1"/>
  <pageMargins left="0" right="0" top="0.5" bottom="0.5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71" customWidth="1"/>
    <col min="2" max="2" width="4.140625" style="71" customWidth="1"/>
    <col min="3" max="3" width="37.28125" style="71" customWidth="1"/>
    <col min="4" max="4" width="22.8515625" style="71" customWidth="1"/>
    <col min="5" max="6" width="12.7109375" style="71" customWidth="1"/>
    <col min="7" max="16384" width="9.140625" style="71" customWidth="1"/>
  </cols>
  <sheetData>
    <row r="1" ht="19.5" customHeight="1">
      <c r="A1" s="1" t="s">
        <v>163</v>
      </c>
    </row>
    <row r="2" ht="12.75">
      <c r="A2" s="6" t="s">
        <v>140</v>
      </c>
    </row>
    <row r="3" ht="6.75" customHeight="1" thickBot="1"/>
    <row r="4" spans="2:6" ht="13.5" customHeight="1" thickBot="1">
      <c r="B4" s="4"/>
      <c r="C4" s="4"/>
      <c r="D4" s="4"/>
      <c r="E4" s="235" t="s">
        <v>164</v>
      </c>
      <c r="F4" s="235"/>
    </row>
    <row r="5" spans="1:6" ht="13.5" customHeight="1" thickBot="1">
      <c r="A5" s="5"/>
      <c r="B5" s="5"/>
      <c r="C5" s="5"/>
      <c r="D5" s="2"/>
      <c r="E5" s="8">
        <v>2006</v>
      </c>
      <c r="F5" s="8">
        <v>2007</v>
      </c>
    </row>
    <row r="6" spans="1:6" ht="13.5" thickBot="1">
      <c r="A6" s="90"/>
      <c r="B6" s="90" t="s">
        <v>165</v>
      </c>
      <c r="C6" s="90"/>
      <c r="D6" s="102"/>
      <c r="E6" s="74">
        <v>0</v>
      </c>
      <c r="F6" s="74">
        <f>3750000000/1507.5</f>
        <v>2487562.189054726</v>
      </c>
    </row>
    <row r="7" spans="1:6" ht="13.5" thickBot="1">
      <c r="A7" s="90"/>
      <c r="B7" s="90" t="s">
        <v>166</v>
      </c>
      <c r="C7" s="90"/>
      <c r="D7" s="102"/>
      <c r="E7" s="74">
        <f>3104984700.5/1507.5</f>
        <v>2059691.343615257</v>
      </c>
      <c r="F7" s="74">
        <f>2103388651.06/1507.5</f>
        <v>1395282.6872703151</v>
      </c>
    </row>
    <row r="8" spans="1:6" ht="13.5" thickBot="1">
      <c r="A8" s="89"/>
      <c r="B8" s="90" t="s">
        <v>167</v>
      </c>
      <c r="C8" s="89"/>
      <c r="D8" s="103"/>
      <c r="E8" s="74">
        <f>1374000119433.82/1507.5</f>
        <v>911442865.2960664</v>
      </c>
      <c r="F8" s="74">
        <f>1709652555652.64/1507.5</f>
        <v>1134097881.0299435</v>
      </c>
    </row>
    <row r="9" spans="1:6" ht="12.75">
      <c r="A9" s="17"/>
      <c r="B9" s="17"/>
      <c r="C9" s="100" t="s">
        <v>168</v>
      </c>
      <c r="D9" s="50"/>
      <c r="E9" s="77">
        <f>202432783486.47/1507.5</f>
        <v>134283770.1402786</v>
      </c>
      <c r="F9" s="77">
        <f>226682941662.6/1507.5</f>
        <v>150370110.5556219</v>
      </c>
    </row>
    <row r="10" spans="1:6" ht="12.75">
      <c r="A10" s="18"/>
      <c r="B10" s="18"/>
      <c r="C10" s="242" t="s">
        <v>169</v>
      </c>
      <c r="D10" s="242"/>
      <c r="E10" s="78">
        <f>71661157820.48/1507.5</f>
        <v>47536423.09816252</v>
      </c>
      <c r="F10" s="78">
        <f>95162958413.48/1507.5</f>
        <v>63126340.572789386</v>
      </c>
    </row>
    <row r="11" spans="1:6" ht="12.75">
      <c r="A11" s="18"/>
      <c r="B11" s="18"/>
      <c r="C11" s="101" t="s">
        <v>170</v>
      </c>
      <c r="D11" s="51"/>
      <c r="E11" s="78">
        <f>41194852503.19/1507.5</f>
        <v>27326601.992165837</v>
      </c>
      <c r="F11" s="78">
        <f>38041799859.88/1507.5</f>
        <v>25235024.7826733</v>
      </c>
    </row>
    <row r="12" spans="1:6" ht="12.75">
      <c r="A12" s="18"/>
      <c r="B12" s="18"/>
      <c r="C12" s="242" t="s">
        <v>171</v>
      </c>
      <c r="D12" s="242"/>
      <c r="E12" s="78">
        <f>298440184296.95/1507.5</f>
        <v>197970271.50709784</v>
      </c>
      <c r="F12" s="78">
        <f>343753457546.95/1507.5</f>
        <v>228028827.56016585</v>
      </c>
    </row>
    <row r="13" spans="1:6" ht="12.75">
      <c r="A13" s="18"/>
      <c r="B13" s="18"/>
      <c r="C13" s="242" t="s">
        <v>172</v>
      </c>
      <c r="D13" s="242"/>
      <c r="E13" s="78">
        <f>92562447763.75/1507.5</f>
        <v>61401292.048922054</v>
      </c>
      <c r="F13" s="78">
        <f>198909585634.7/1507.5</f>
        <v>131946657.1374461</v>
      </c>
    </row>
    <row r="14" spans="1:6" ht="12.75">
      <c r="A14" s="18"/>
      <c r="B14" s="18"/>
      <c r="C14" s="242" t="s">
        <v>173</v>
      </c>
      <c r="D14" s="242"/>
      <c r="E14" s="78">
        <f>728914144.08/1507.5</f>
        <v>483525.1370348259</v>
      </c>
      <c r="F14" s="78">
        <f>712408320.5/1507.5</f>
        <v>472576.00033167494</v>
      </c>
    </row>
    <row r="15" spans="1:6" ht="12.75">
      <c r="A15" s="18"/>
      <c r="B15" s="18"/>
      <c r="C15" s="242" t="s">
        <v>174</v>
      </c>
      <c r="D15" s="242"/>
      <c r="E15" s="79">
        <f>653545281707.17/1507.5</f>
        <v>433529208.4293002</v>
      </c>
      <c r="F15" s="79">
        <f>792994125653.7/1507.5</f>
        <v>526032587.4983084</v>
      </c>
    </row>
    <row r="16" spans="1:6" ht="12.75">
      <c r="A16" s="18"/>
      <c r="B16" s="18"/>
      <c r="C16" s="18"/>
      <c r="D16" s="98" t="s">
        <v>175</v>
      </c>
      <c r="E16" s="78">
        <f>356115405040.16/1507.5</f>
        <v>236229124.40474957</v>
      </c>
      <c r="F16" s="78">
        <f>450354389366.58/1507.5</f>
        <v>298742546.8435025</v>
      </c>
    </row>
    <row r="17" spans="1:6" ht="12.75">
      <c r="A17" s="18"/>
      <c r="B17" s="18"/>
      <c r="C17" s="18"/>
      <c r="D17" s="101" t="s">
        <v>176</v>
      </c>
      <c r="E17" s="78">
        <f>160792245629.44/1507.5</f>
        <v>106661522.80559868</v>
      </c>
      <c r="F17" s="78">
        <f>214297356799.18/1507.5</f>
        <v>142154133.8634693</v>
      </c>
    </row>
    <row r="18" spans="1:6" ht="22.5">
      <c r="A18" s="104"/>
      <c r="B18" s="51"/>
      <c r="C18" s="18"/>
      <c r="D18" s="98" t="s">
        <v>177</v>
      </c>
      <c r="E18" s="78">
        <f>136637631037.57/1507.5</f>
        <v>90638561.21895191</v>
      </c>
      <c r="F18" s="78">
        <f>128342379487.94/1507.5</f>
        <v>85135906.79133666</v>
      </c>
    </row>
    <row r="19" spans="1:6" ht="13.5" thickBot="1">
      <c r="A19" s="93"/>
      <c r="B19" s="93"/>
      <c r="C19" s="243" t="s">
        <v>178</v>
      </c>
      <c r="D19" s="243"/>
      <c r="E19" s="81">
        <f>13434497711.73/1507.5</f>
        <v>8911772.943104478</v>
      </c>
      <c r="F19" s="81">
        <f>13395278560.83/1507.5</f>
        <v>8885756.922606966</v>
      </c>
    </row>
    <row r="20" spans="1:6" ht="13.5" thickBot="1">
      <c r="A20" s="89"/>
      <c r="B20" s="245" t="s">
        <v>179</v>
      </c>
      <c r="C20" s="245"/>
      <c r="D20" s="245"/>
      <c r="E20" s="74">
        <f>346859217220.98/1507.5</f>
        <v>230089032.98240796</v>
      </c>
      <c r="F20" s="74">
        <f>467110217818.87/1507.5</f>
        <v>309857524.25795686</v>
      </c>
    </row>
    <row r="21" spans="1:6" ht="12.75">
      <c r="A21" s="17"/>
      <c r="B21" s="17"/>
      <c r="C21" s="244" t="s">
        <v>180</v>
      </c>
      <c r="D21" s="244"/>
      <c r="E21" s="77">
        <f>1371134299/1507.5</f>
        <v>909541.8235489221</v>
      </c>
      <c r="F21" s="77">
        <f>1580159243/1507.5</f>
        <v>1048198.5028192372</v>
      </c>
    </row>
    <row r="22" spans="1:6" ht="12.75">
      <c r="A22" s="18"/>
      <c r="B22" s="18"/>
      <c r="C22" s="242" t="s">
        <v>172</v>
      </c>
      <c r="D22" s="242"/>
      <c r="E22" s="78">
        <f>330026928982.98/1507.5</f>
        <v>218923335.97544277</v>
      </c>
      <c r="F22" s="78">
        <f>441428219581.87/1507.5</f>
        <v>292821372.85696185</v>
      </c>
    </row>
    <row r="23" spans="1:6" ht="13.5" thickBot="1">
      <c r="A23" s="93"/>
      <c r="B23" s="93"/>
      <c r="C23" s="243" t="s">
        <v>181</v>
      </c>
      <c r="D23" s="243"/>
      <c r="E23" s="81">
        <f>15461153939/1507.5</f>
        <v>10256155.183416253</v>
      </c>
      <c r="F23" s="81">
        <f>24101838994/1507.5</f>
        <v>15987952.898175787</v>
      </c>
    </row>
    <row r="24" spans="1:6" ht="13.5" thickBot="1">
      <c r="A24" s="89"/>
      <c r="B24" s="245" t="s">
        <v>182</v>
      </c>
      <c r="C24" s="245"/>
      <c r="D24" s="245"/>
      <c r="E24" s="82">
        <f>102430305324.38/1507.5</f>
        <v>67947134.54353566</v>
      </c>
      <c r="F24" s="82">
        <f>102663348707.895/1507.5</f>
        <v>68101723.85266668</v>
      </c>
    </row>
    <row r="25" spans="1:6" ht="13.5" thickBot="1">
      <c r="A25" s="89"/>
      <c r="B25" s="245" t="s">
        <v>183</v>
      </c>
      <c r="C25" s="245"/>
      <c r="D25" s="245"/>
      <c r="E25" s="82">
        <f>119984715046.52/1507.5</f>
        <v>79591850.7771277</v>
      </c>
      <c r="F25" s="82">
        <f>119251025338.545/1507.5</f>
        <v>79105157.77017911</v>
      </c>
    </row>
    <row r="26" spans="1:6" ht="13.5" thickBot="1">
      <c r="A26" s="89"/>
      <c r="B26" s="245" t="s">
        <v>184</v>
      </c>
      <c r="C26" s="245"/>
      <c r="D26" s="245"/>
      <c r="E26" s="74">
        <f>190795254973.45/1507.5</f>
        <v>126564016.56613599</v>
      </c>
      <c r="F26" s="74">
        <f>199047426877.19/1507.5</f>
        <v>132038094.11422223</v>
      </c>
    </row>
    <row r="27" spans="1:6" ht="12.75">
      <c r="A27" s="17"/>
      <c r="B27" s="17"/>
      <c r="C27" s="244" t="s">
        <v>185</v>
      </c>
      <c r="D27" s="244"/>
      <c r="E27" s="77">
        <f>34034855346.85/1507.5</f>
        <v>22577018.47220564</v>
      </c>
      <c r="F27" s="77">
        <f>25030296599.69/1507.5</f>
        <v>16603845.173923714</v>
      </c>
    </row>
    <row r="28" spans="1:6" ht="12.75">
      <c r="A28" s="18"/>
      <c r="B28" s="18"/>
      <c r="C28" s="242" t="s">
        <v>186</v>
      </c>
      <c r="D28" s="242"/>
      <c r="E28" s="78">
        <f>73790351547.53/1507.5</f>
        <v>48948823.58045108</v>
      </c>
      <c r="F28" s="78">
        <f>81650860241.38/1507.5</f>
        <v>54163091.37073301</v>
      </c>
    </row>
    <row r="29" spans="1:6" ht="13.5" thickBot="1">
      <c r="A29" s="93"/>
      <c r="B29" s="93"/>
      <c r="C29" s="243" t="s">
        <v>187</v>
      </c>
      <c r="D29" s="243"/>
      <c r="E29" s="81">
        <f>82970048079.07/1507.5</f>
        <v>55038174.51347928</v>
      </c>
      <c r="F29" s="81">
        <f>92366270036.1204/1507.5</f>
        <v>61271157.56956577</v>
      </c>
    </row>
    <row r="30" spans="1:6" ht="13.5" thickBot="1">
      <c r="A30" s="89"/>
      <c r="B30" s="245" t="s">
        <v>188</v>
      </c>
      <c r="C30" s="245"/>
      <c r="D30" s="245"/>
      <c r="E30" s="74">
        <f>36637699477.23/1507.5</f>
        <v>24303614.91026866</v>
      </c>
      <c r="F30" s="74">
        <f>39959899490.94/1507.5</f>
        <v>26507396.01389055</v>
      </c>
    </row>
    <row r="31" spans="1:6" ht="12.75">
      <c r="A31" s="17"/>
      <c r="B31" s="17"/>
      <c r="C31" s="244" t="s">
        <v>189</v>
      </c>
      <c r="D31" s="244"/>
      <c r="E31" s="77">
        <f>25998695805.23/1507.5</f>
        <v>17246232.70662023</v>
      </c>
      <c r="F31" s="77">
        <f>30126684404.11/1507.5</f>
        <v>19984533.601399668</v>
      </c>
    </row>
    <row r="32" spans="1:6" ht="12.75">
      <c r="A32" s="18"/>
      <c r="B32" s="18"/>
      <c r="C32" s="242" t="s">
        <v>190</v>
      </c>
      <c r="D32" s="242"/>
      <c r="E32" s="78">
        <v>2349397098</v>
      </c>
      <c r="F32" s="78">
        <f>2274159598/1507.5</f>
        <v>1508563.5807628524</v>
      </c>
    </row>
    <row r="33" spans="1:6" ht="12.75">
      <c r="A33" s="18"/>
      <c r="B33" s="18"/>
      <c r="C33" s="101" t="s">
        <v>191</v>
      </c>
      <c r="D33" s="105"/>
      <c r="E33" s="78">
        <v>0</v>
      </c>
      <c r="F33" s="78">
        <v>0</v>
      </c>
    </row>
    <row r="34" spans="1:6" ht="13.5" thickBot="1">
      <c r="A34" s="93"/>
      <c r="B34" s="93"/>
      <c r="C34" s="243" t="s">
        <v>192</v>
      </c>
      <c r="D34" s="243"/>
      <c r="E34" s="81">
        <f>8289606574/1507.5</f>
        <v>5498909.833499171</v>
      </c>
      <c r="F34" s="81">
        <f>7559055488.83/1507.5</f>
        <v>5014298.831728026</v>
      </c>
    </row>
    <row r="35" spans="1:6" ht="13.5" thickBot="1">
      <c r="A35" s="89"/>
      <c r="B35" s="248" t="s">
        <v>193</v>
      </c>
      <c r="C35" s="248"/>
      <c r="D35" s="248"/>
      <c r="E35" s="74">
        <f>49760579539.1355/1507.5</f>
        <v>33008676.311200995</v>
      </c>
      <c r="F35" s="74">
        <f>52382556002.57/1507.5</f>
        <v>34747964.18080929</v>
      </c>
    </row>
    <row r="36" spans="1:6" ht="12.75">
      <c r="A36" s="17"/>
      <c r="B36" s="17"/>
      <c r="C36" s="244" t="s">
        <v>194</v>
      </c>
      <c r="D36" s="244"/>
      <c r="E36" s="77">
        <f>42143679466.4855/1507.5</f>
        <v>27956006.27959237</v>
      </c>
      <c r="F36" s="77">
        <f>44505913859.84/1507.5</f>
        <v>29522994.26855058</v>
      </c>
    </row>
    <row r="37" spans="1:6" ht="13.5" thickBot="1">
      <c r="A37" s="93"/>
      <c r="B37" s="106"/>
      <c r="C37" s="246" t="s">
        <v>193</v>
      </c>
      <c r="D37" s="246"/>
      <c r="E37" s="81">
        <f>7616900072.65/1507.5</f>
        <v>5052670.031608623</v>
      </c>
      <c r="F37" s="81">
        <f>7876642142.73/1507.5</f>
        <v>5224969.912258706</v>
      </c>
    </row>
    <row r="38" spans="1:6" ht="13.5" thickBot="1">
      <c r="A38" s="89"/>
      <c r="B38" s="248" t="s">
        <v>195</v>
      </c>
      <c r="C38" s="248"/>
      <c r="D38" s="248"/>
      <c r="E38" s="74">
        <f>109720921859.7/1507.5</f>
        <v>72783364.41771144</v>
      </c>
      <c r="F38" s="74">
        <f>103671789730.36/1507.5</f>
        <v>68770673.12130016</v>
      </c>
    </row>
    <row r="39" spans="1:6" ht="12.75">
      <c r="A39" s="17"/>
      <c r="B39" s="17"/>
      <c r="C39" s="247" t="s">
        <v>196</v>
      </c>
      <c r="D39" s="247"/>
      <c r="E39" s="77">
        <f>727781105.43/1507.5</f>
        <v>482773.53594029846</v>
      </c>
      <c r="F39" s="77">
        <f>1336520310.88/1507.5</f>
        <v>886580.6373996685</v>
      </c>
    </row>
    <row r="40" spans="1:6" ht="12.75">
      <c r="A40" s="18"/>
      <c r="B40" s="18"/>
      <c r="C40" s="242" t="s">
        <v>197</v>
      </c>
      <c r="D40" s="242"/>
      <c r="E40" s="78">
        <v>0</v>
      </c>
      <c r="F40" s="78">
        <f>5055749/1507.5</f>
        <v>3353.730679933665</v>
      </c>
    </row>
    <row r="41" spans="1:6" ht="12.75">
      <c r="A41" s="18"/>
      <c r="B41" s="18"/>
      <c r="C41" s="242" t="s">
        <v>198</v>
      </c>
      <c r="D41" s="242"/>
      <c r="E41" s="78">
        <f>51109752365.12/1507.5</f>
        <v>33903649.993446104</v>
      </c>
      <c r="F41" s="78">
        <f>39797469095.82/1507.5</f>
        <v>26399647.82475622</v>
      </c>
    </row>
    <row r="42" spans="1:6" ht="12.75">
      <c r="A42" s="18"/>
      <c r="B42" s="107"/>
      <c r="C42" s="242" t="s">
        <v>199</v>
      </c>
      <c r="D42" s="242"/>
      <c r="E42" s="78">
        <f>53932611378.15/1507.5</f>
        <v>35776193.285671644</v>
      </c>
      <c r="F42" s="78">
        <f>58876411530.16/1507.5</f>
        <v>39055662.7065738</v>
      </c>
    </row>
    <row r="43" spans="1:6" ht="13.5" thickBot="1">
      <c r="A43" s="93"/>
      <c r="B43" s="93"/>
      <c r="C43" s="243" t="s">
        <v>200</v>
      </c>
      <c r="D43" s="243"/>
      <c r="E43" s="81">
        <f>3950777011/1507.5</f>
        <v>2620747.6026533996</v>
      </c>
      <c r="F43" s="81">
        <f>3656333044.5/1507.5</f>
        <v>2425428.2218905473</v>
      </c>
    </row>
    <row r="44" spans="1:6" ht="13.5" thickBot="1">
      <c r="A44" s="89"/>
      <c r="B44" s="248" t="s">
        <v>201</v>
      </c>
      <c r="C44" s="248"/>
      <c r="D44" s="248"/>
      <c r="E44" s="74">
        <f>53611544701.16/1507.5</f>
        <v>35563213.73211277</v>
      </c>
      <c r="F44" s="74">
        <f>67040647092.8/1507.5</f>
        <v>44471407.69008292</v>
      </c>
    </row>
    <row r="45" spans="1:6" ht="12.75">
      <c r="A45" s="17"/>
      <c r="B45" s="17"/>
      <c r="C45" s="244" t="s">
        <v>202</v>
      </c>
      <c r="D45" s="244"/>
      <c r="E45" s="77">
        <f>46084118751.34/1507.5</f>
        <v>30569896.352464344</v>
      </c>
      <c r="F45" s="77">
        <f>60656990356.32/1507.5</f>
        <v>40236809.52326368</v>
      </c>
    </row>
    <row r="46" spans="1:6" ht="12.75">
      <c r="A46" s="18"/>
      <c r="B46" s="18"/>
      <c r="C46" s="101" t="s">
        <v>203</v>
      </c>
      <c r="D46" s="51"/>
      <c r="E46" s="78">
        <f>1491501166.66/1507.5</f>
        <v>989387.1752305141</v>
      </c>
      <c r="F46" s="78">
        <f>661513183.41/1507.5</f>
        <v>438814.71536318405</v>
      </c>
    </row>
    <row r="47" spans="1:6" ht="12.75">
      <c r="A47" s="18"/>
      <c r="B47" s="18"/>
      <c r="C47" s="242" t="s">
        <v>204</v>
      </c>
      <c r="D47" s="242"/>
      <c r="E47" s="78">
        <f>2328580147/1507.5</f>
        <v>1544663.4474295191</v>
      </c>
      <c r="F47" s="78">
        <f>2025319729/1507.5</f>
        <v>1343495.6742951907</v>
      </c>
    </row>
    <row r="48" spans="1:6" ht="13.5" thickBot="1">
      <c r="A48" s="108"/>
      <c r="B48" s="93"/>
      <c r="C48" s="243" t="s">
        <v>205</v>
      </c>
      <c r="D48" s="243"/>
      <c r="E48" s="81">
        <f>3707344636.16/1507.5</f>
        <v>2459266.7569883913</v>
      </c>
      <c r="F48" s="81">
        <f>3696823824.07/1507.5</f>
        <v>2452287.7771608625</v>
      </c>
    </row>
    <row r="49" spans="1:6" ht="13.5" thickBot="1">
      <c r="A49" s="235" t="s">
        <v>154</v>
      </c>
      <c r="B49" s="235"/>
      <c r="C49" s="235"/>
      <c r="D49" s="235"/>
      <c r="E49" s="83">
        <f>2387484730910.87/1507.5</f>
        <v>1583737798.282501</v>
      </c>
      <c r="F49" s="83">
        <f>2866632855362.87/1507.5</f>
        <v>1901580666.9073765</v>
      </c>
    </row>
  </sheetData>
  <sheetProtection/>
  <mergeCells count="35">
    <mergeCell ref="E4:F4"/>
    <mergeCell ref="C45:D45"/>
    <mergeCell ref="C47:D47"/>
    <mergeCell ref="C48:D48"/>
    <mergeCell ref="C29:D29"/>
    <mergeCell ref="B30:D30"/>
    <mergeCell ref="C31:D31"/>
    <mergeCell ref="C32:D32"/>
    <mergeCell ref="C34:D34"/>
    <mergeCell ref="B35:D35"/>
    <mergeCell ref="A49:D49"/>
    <mergeCell ref="C37:D37"/>
    <mergeCell ref="C39:D39"/>
    <mergeCell ref="C36:D36"/>
    <mergeCell ref="B38:D38"/>
    <mergeCell ref="C41:D41"/>
    <mergeCell ref="C42:D42"/>
    <mergeCell ref="C43:D43"/>
    <mergeCell ref="B44:D44"/>
    <mergeCell ref="C40:D40"/>
    <mergeCell ref="C27:D27"/>
    <mergeCell ref="C28:D28"/>
    <mergeCell ref="B20:D20"/>
    <mergeCell ref="C21:D21"/>
    <mergeCell ref="C22:D22"/>
    <mergeCell ref="C23:D23"/>
    <mergeCell ref="B24:D24"/>
    <mergeCell ref="B25:D25"/>
    <mergeCell ref="B26:D26"/>
    <mergeCell ref="C15:D15"/>
    <mergeCell ref="C19:D19"/>
    <mergeCell ref="C10:D10"/>
    <mergeCell ref="C12:D12"/>
    <mergeCell ref="C13:D13"/>
    <mergeCell ref="C14:D14"/>
  </mergeCells>
  <printOptions horizontalCentered="1"/>
  <pageMargins left="0" right="0" top="0.5" bottom="0.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G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71" customWidth="1"/>
    <col min="2" max="2" width="4.140625" style="71" customWidth="1"/>
    <col min="3" max="3" width="16.28125" style="71" customWidth="1"/>
    <col min="4" max="4" width="47.7109375" style="71" customWidth="1"/>
    <col min="5" max="6" width="12.7109375" style="71" customWidth="1"/>
    <col min="7" max="7" width="9.140625" style="71" customWidth="1"/>
    <col min="8" max="8" width="11.7109375" style="71" bestFit="1" customWidth="1"/>
    <col min="9" max="16384" width="9.140625" style="71" customWidth="1"/>
  </cols>
  <sheetData>
    <row r="1" ht="19.5" customHeight="1">
      <c r="A1" s="1" t="s">
        <v>206</v>
      </c>
    </row>
    <row r="2" ht="12.75">
      <c r="A2" s="6" t="s">
        <v>140</v>
      </c>
    </row>
    <row r="3" ht="6.75" customHeight="1" thickBot="1">
      <c r="D3" s="84"/>
    </row>
    <row r="4" spans="2:6" ht="13.5" customHeight="1" thickBot="1">
      <c r="B4" s="4"/>
      <c r="C4" s="4"/>
      <c r="D4" s="4"/>
      <c r="E4" s="235" t="s">
        <v>207</v>
      </c>
      <c r="F4" s="235"/>
    </row>
    <row r="5" spans="1:6" ht="13.5" customHeight="1" thickBot="1">
      <c r="A5" s="5"/>
      <c r="B5" s="5"/>
      <c r="C5" s="5"/>
      <c r="D5" s="2"/>
      <c r="E5" s="8">
        <v>2006</v>
      </c>
      <c r="F5" s="8">
        <v>2007</v>
      </c>
    </row>
    <row r="6" spans="1:6" ht="13.5" thickBot="1">
      <c r="A6" s="89"/>
      <c r="B6" s="90" t="s">
        <v>208</v>
      </c>
      <c r="C6" s="89"/>
      <c r="D6" s="89"/>
      <c r="E6" s="88">
        <f>549723474950.77/1507.5</f>
        <v>364659021.5262156</v>
      </c>
      <c r="F6" s="88">
        <f>676478332669.118/1507.5</f>
        <v>448741845.88332874</v>
      </c>
    </row>
    <row r="7" spans="1:6" ht="12.75">
      <c r="A7" s="17"/>
      <c r="B7" s="17"/>
      <c r="C7" s="247" t="s">
        <v>209</v>
      </c>
      <c r="D7" s="247"/>
      <c r="E7" s="91">
        <f>328740953000/1507.5</f>
        <v>218070283.9137645</v>
      </c>
      <c r="F7" s="91">
        <f>382510953000/1507.5</f>
        <v>253738608.9552239</v>
      </c>
    </row>
    <row r="8" spans="1:6" ht="12.75">
      <c r="A8" s="18"/>
      <c r="B8" s="18"/>
      <c r="C8" s="249" t="s">
        <v>210</v>
      </c>
      <c r="D8" s="249"/>
      <c r="E8" s="92">
        <f>87879083905.4591/1507.5</f>
        <v>58294583.02186342</v>
      </c>
      <c r="F8" s="92">
        <f>91596141164.9084/1507.5</f>
        <v>60760292.646705404</v>
      </c>
    </row>
    <row r="9" spans="1:6" ht="12.75">
      <c r="A9" s="18"/>
      <c r="B9" s="18"/>
      <c r="C9" s="242" t="s">
        <v>211</v>
      </c>
      <c r="D9" s="242"/>
      <c r="E9" s="92">
        <f>35285959462.1096/1507.5</f>
        <v>23406938.283323117</v>
      </c>
      <c r="F9" s="92">
        <f>67909571399.9755/1507.5</f>
        <v>45047808.55719768</v>
      </c>
    </row>
    <row r="10" spans="1:6" ht="12.75">
      <c r="A10" s="18"/>
      <c r="B10" s="18"/>
      <c r="C10" s="242" t="s">
        <v>212</v>
      </c>
      <c r="D10" s="242"/>
      <c r="E10" s="92">
        <f>75384534857.441/1507.5</f>
        <v>50006324.946892865</v>
      </c>
      <c r="F10" s="92">
        <f>71185142370.1944/1507.5</f>
        <v>47220658.28868616</v>
      </c>
    </row>
    <row r="11" spans="1:6" ht="12.75">
      <c r="A11" s="18"/>
      <c r="B11" s="18"/>
      <c r="C11" s="242" t="s">
        <v>213</v>
      </c>
      <c r="D11" s="242"/>
      <c r="E11" s="92">
        <f>22432943725.76/1507.5</f>
        <v>14880891.360371474</v>
      </c>
      <c r="F11" s="92">
        <f>63276529429.04/1507.5</f>
        <v>41974480.54994362</v>
      </c>
    </row>
    <row r="12" spans="1:6" ht="12.75">
      <c r="A12" s="18"/>
      <c r="B12" s="18"/>
      <c r="C12" s="18"/>
      <c r="D12" s="98" t="s">
        <v>214</v>
      </c>
      <c r="E12" s="92">
        <f>1204559993/1507.5</f>
        <v>799044.7714759535</v>
      </c>
      <c r="F12" s="92">
        <f>41334369771/1507.5</f>
        <v>27419150.760199007</v>
      </c>
    </row>
    <row r="13" spans="1:6" ht="12.75">
      <c r="A13" s="18"/>
      <c r="B13" s="18"/>
      <c r="C13" s="18"/>
      <c r="D13" s="98" t="s">
        <v>215</v>
      </c>
      <c r="E13" s="92">
        <f>5130914687.73/1507.5</f>
        <v>3403591.832656716</v>
      </c>
      <c r="F13" s="92">
        <f>-2535074401.09/1507.5</f>
        <v>-1681641.3937578774</v>
      </c>
    </row>
    <row r="14" spans="1:6" ht="12.75">
      <c r="A14" s="18"/>
      <c r="B14" s="18"/>
      <c r="C14" s="18"/>
      <c r="D14" s="98" t="s">
        <v>216</v>
      </c>
      <c r="E14" s="92">
        <f>7948343693/1507.5</f>
        <v>5272533.129684909</v>
      </c>
      <c r="F14" s="92">
        <f>17686113772/1507.5</f>
        <v>11732082.104145937</v>
      </c>
    </row>
    <row r="15" spans="1:6" ht="13.5" thickBot="1">
      <c r="A15" s="93"/>
      <c r="B15" s="93"/>
      <c r="C15" s="93"/>
      <c r="D15" s="99" t="s">
        <v>213</v>
      </c>
      <c r="E15" s="94">
        <f>8149125352.03/1507.5</f>
        <v>5405721.626553897</v>
      </c>
      <c r="F15" s="94">
        <f>6791120287.13/1507.5</f>
        <v>4504889.07935655</v>
      </c>
    </row>
    <row r="16" spans="1:6" ht="13.5" thickBot="1">
      <c r="A16" s="89"/>
      <c r="B16" s="245" t="s">
        <v>217</v>
      </c>
      <c r="C16" s="248"/>
      <c r="D16" s="248"/>
      <c r="E16" s="88">
        <f>10106847057.33/1507.5</f>
        <v>6704376.157432836</v>
      </c>
      <c r="F16" s="88">
        <f>3543607331.46/1507.5</f>
        <v>2350651.629492537</v>
      </c>
    </row>
    <row r="17" spans="1:6" ht="12.75">
      <c r="A17" s="17"/>
      <c r="B17" s="17"/>
      <c r="C17" s="244" t="s">
        <v>218</v>
      </c>
      <c r="D17" s="244"/>
      <c r="E17" s="91">
        <f>3040280625/1507.5</f>
        <v>2016769.9004975124</v>
      </c>
      <c r="F17" s="91">
        <f>24647550/1507.5</f>
        <v>16349.950248756219</v>
      </c>
    </row>
    <row r="18" spans="1:6" ht="13.5" thickBot="1">
      <c r="A18" s="93"/>
      <c r="B18" s="93"/>
      <c r="C18" s="246" t="s">
        <v>200</v>
      </c>
      <c r="D18" s="246"/>
      <c r="E18" s="94">
        <f>7066566432.33/1507.5</f>
        <v>4687606.256935324</v>
      </c>
      <c r="F18" s="94">
        <f>3518959781.46/1507.5</f>
        <v>2334301.679243781</v>
      </c>
    </row>
    <row r="19" spans="1:6" ht="13.5" thickBot="1">
      <c r="A19" s="89"/>
      <c r="B19" s="245" t="s">
        <v>219</v>
      </c>
      <c r="C19" s="245"/>
      <c r="D19" s="245"/>
      <c r="E19" s="88">
        <f>631512872185.415/1507.5</f>
        <v>418914011.39994365</v>
      </c>
      <c r="F19" s="88">
        <f>752509014795.78/1507.5</f>
        <v>499176792.5676816</v>
      </c>
    </row>
    <row r="20" spans="1:6" ht="12.75">
      <c r="A20" s="17"/>
      <c r="B20" s="17"/>
      <c r="C20" s="244" t="s">
        <v>220</v>
      </c>
      <c r="D20" s="247"/>
      <c r="E20" s="91">
        <f>562725562537.425/1507.5</f>
        <v>373283955.2487065</v>
      </c>
      <c r="F20" s="91">
        <f>631643367624.18/1507.5</f>
        <v>419000575.5384279</v>
      </c>
    </row>
    <row r="21" spans="1:6" ht="12.75">
      <c r="A21" s="18"/>
      <c r="B21" s="18"/>
      <c r="C21" s="249" t="s">
        <v>221</v>
      </c>
      <c r="D21" s="249"/>
      <c r="E21" s="92">
        <f>24419914227.05/1507.5</f>
        <v>16198948.077645108</v>
      </c>
      <c r="F21" s="92">
        <f>29093541128.01/1507.5</f>
        <v>19299198.094865672</v>
      </c>
    </row>
    <row r="22" spans="1:6" ht="12.75">
      <c r="A22" s="18"/>
      <c r="B22" s="18"/>
      <c r="C22" s="242" t="s">
        <v>222</v>
      </c>
      <c r="D22" s="242"/>
      <c r="E22" s="92">
        <f>1811295432/1507.5</f>
        <v>1201522.6746268657</v>
      </c>
      <c r="F22" s="92">
        <f>2716472459.5/1507.5</f>
        <v>1801971.7807628524</v>
      </c>
    </row>
    <row r="23" spans="1:6" ht="12.75">
      <c r="A23" s="18"/>
      <c r="B23" s="18"/>
      <c r="C23" s="242" t="s">
        <v>223</v>
      </c>
      <c r="D23" s="249"/>
      <c r="E23" s="92">
        <f>244391949.79/1507.5</f>
        <v>162117.37962852404</v>
      </c>
      <c r="F23" s="92">
        <f>306721880.29/1507.5</f>
        <v>203463.93385737977</v>
      </c>
    </row>
    <row r="24" spans="1:6" ht="12.75">
      <c r="A24" s="18"/>
      <c r="B24" s="18"/>
      <c r="C24" s="242" t="s">
        <v>224</v>
      </c>
      <c r="D24" s="242"/>
      <c r="E24" s="92">
        <f>660678732/1507.5</f>
        <v>438261.1820895522</v>
      </c>
      <c r="F24" s="92">
        <f>1663165000/1507.5</f>
        <v>1103260.3648424544</v>
      </c>
    </row>
    <row r="25" spans="1:6" ht="12.75">
      <c r="A25" s="18"/>
      <c r="B25" s="18"/>
      <c r="C25" s="249" t="s">
        <v>225</v>
      </c>
      <c r="D25" s="249"/>
      <c r="E25" s="92">
        <v>45500843791.15</v>
      </c>
      <c r="F25" s="92">
        <f>87085746703.8/1507.5</f>
        <v>57768322.85492537</v>
      </c>
    </row>
    <row r="26" spans="1:6" ht="13.5" thickBot="1">
      <c r="A26" s="93"/>
      <c r="B26" s="93"/>
      <c r="C26" s="243" t="s">
        <v>226</v>
      </c>
      <c r="D26" s="243"/>
      <c r="E26" s="94">
        <v>0</v>
      </c>
      <c r="F26" s="94">
        <v>0</v>
      </c>
    </row>
    <row r="27" spans="1:7" ht="13.5" thickBot="1">
      <c r="A27" s="89"/>
      <c r="B27" s="245" t="s">
        <v>227</v>
      </c>
      <c r="C27" s="245"/>
      <c r="D27" s="245"/>
      <c r="E27" s="88">
        <f>475496339928.859/1507.5</f>
        <v>315420457.6642514</v>
      </c>
      <c r="F27" s="88">
        <f>520054168123.849/1507.5</f>
        <v>344977889.30271906</v>
      </c>
      <c r="G27" s="85"/>
    </row>
    <row r="28" spans="1:6" ht="12.75">
      <c r="A28" s="17"/>
      <c r="B28" s="17"/>
      <c r="C28" s="244" t="s">
        <v>228</v>
      </c>
      <c r="D28" s="244"/>
      <c r="E28" s="91">
        <f>288176652416.96/1507.5</f>
        <v>191161958.4855456</v>
      </c>
      <c r="F28" s="91">
        <f>342255189480.33/1507.5</f>
        <v>227034951.56240797</v>
      </c>
    </row>
    <row r="29" spans="1:7" ht="12.75">
      <c r="A29" s="18"/>
      <c r="B29" s="18"/>
      <c r="C29" s="242" t="s">
        <v>229</v>
      </c>
      <c r="D29" s="242"/>
      <c r="E29" s="92">
        <f>150037169495.326/1507.5</f>
        <v>99527143.9438315</v>
      </c>
      <c r="F29" s="92">
        <f>152414612695.807/1507.5</f>
        <v>101104220.69373599</v>
      </c>
      <c r="G29" s="86"/>
    </row>
    <row r="30" spans="1:6" ht="12.75">
      <c r="A30" s="18"/>
      <c r="B30" s="18"/>
      <c r="C30" s="242" t="s">
        <v>230</v>
      </c>
      <c r="D30" s="242"/>
      <c r="E30" s="92">
        <f>15154301021.3369/1507.5</f>
        <v>10052604.325928293</v>
      </c>
      <c r="F30" s="92">
        <f>14691778740.67/1507.5</f>
        <v>9745790.209399668</v>
      </c>
    </row>
    <row r="31" spans="1:6" ht="12.75">
      <c r="A31" s="18"/>
      <c r="B31" s="18"/>
      <c r="C31" s="242" t="s">
        <v>231</v>
      </c>
      <c r="D31" s="242"/>
      <c r="E31" s="92">
        <f>4041037096.36/1507.5</f>
        <v>2680621.622792703</v>
      </c>
      <c r="F31" s="92">
        <f>3346688947.43103/1507.5</f>
        <v>2220025.835775144</v>
      </c>
    </row>
    <row r="32" spans="1:6" ht="12.75">
      <c r="A32" s="18"/>
      <c r="B32" s="18"/>
      <c r="C32" s="242" t="s">
        <v>232</v>
      </c>
      <c r="D32" s="242"/>
      <c r="E32" s="92">
        <v>0</v>
      </c>
      <c r="F32" s="92">
        <v>0</v>
      </c>
    </row>
    <row r="33" spans="1:6" ht="12.75">
      <c r="A33" s="18"/>
      <c r="B33" s="18"/>
      <c r="C33" s="242" t="s">
        <v>233</v>
      </c>
      <c r="D33" s="242"/>
      <c r="E33" s="92">
        <f>4255180320.9657/1507.5</f>
        <v>2822673.513078408</v>
      </c>
      <c r="F33" s="92">
        <f>2494210831/1507.5</f>
        <v>1654534.5479270315</v>
      </c>
    </row>
    <row r="34" spans="1:6" ht="13.5" thickBot="1">
      <c r="A34" s="93"/>
      <c r="B34" s="93"/>
      <c r="C34" s="246" t="s">
        <v>234</v>
      </c>
      <c r="D34" s="246"/>
      <c r="E34" s="94">
        <f>3159331835.91/1507.5</f>
        <v>2095742.5113830846</v>
      </c>
      <c r="F34" s="94">
        <f>4851687428.61/1507.5</f>
        <v>3218366.4534726366</v>
      </c>
    </row>
    <row r="35" spans="1:6" ht="13.5" thickBot="1">
      <c r="A35" s="90"/>
      <c r="B35" s="248" t="s">
        <v>235</v>
      </c>
      <c r="C35" s="248"/>
      <c r="D35" s="248"/>
      <c r="E35" s="88">
        <f>360932519994/1507.5</f>
        <v>239424557.20995024</v>
      </c>
      <c r="F35" s="88">
        <f>466140259032/1507.5</f>
        <v>309214102.1771144</v>
      </c>
    </row>
    <row r="36" spans="1:6" ht="13.5" thickBot="1">
      <c r="A36" s="90"/>
      <c r="B36" s="245" t="s">
        <v>236</v>
      </c>
      <c r="C36" s="245"/>
      <c r="D36" s="245"/>
      <c r="E36" s="88">
        <f>30008422837.94/1507.5</f>
        <v>19906084.8012869</v>
      </c>
      <c r="F36" s="88">
        <f>33930308389.1/1507.5</f>
        <v>22507667.256451078</v>
      </c>
    </row>
    <row r="37" spans="1:6" ht="13.5" thickBot="1">
      <c r="A37" s="90"/>
      <c r="B37" s="245" t="s">
        <v>237</v>
      </c>
      <c r="C37" s="245"/>
      <c r="D37" s="245"/>
      <c r="E37" s="88">
        <f>18096703356.33/1507.5</f>
        <v>12004446.670865674</v>
      </c>
      <c r="F37" s="88">
        <f>21202912798.83/1507.5</f>
        <v>14064950.446985075</v>
      </c>
    </row>
    <row r="38" spans="1:6" ht="13.5" thickBot="1">
      <c r="A38" s="89"/>
      <c r="B38" s="245" t="s">
        <v>238</v>
      </c>
      <c r="C38" s="245"/>
      <c r="D38" s="245"/>
      <c r="E38" s="88">
        <f>15025959103.62/1507.5</f>
        <v>9967468.725452736</v>
      </c>
      <c r="F38" s="88">
        <f>19514263709.31/1507.5</f>
        <v>12944785.213472638</v>
      </c>
    </row>
    <row r="39" spans="1:6" ht="12.75">
      <c r="A39" s="17"/>
      <c r="B39" s="17"/>
      <c r="C39" s="244" t="s">
        <v>239</v>
      </c>
      <c r="D39" s="244"/>
      <c r="E39" s="91">
        <f>9937323788/1507.5</f>
        <v>6591922.910779436</v>
      </c>
      <c r="F39" s="91">
        <f>13227718893.33/1507.5</f>
        <v>8774606.231064677</v>
      </c>
    </row>
    <row r="40" spans="1:6" ht="13.5" thickBot="1">
      <c r="A40" s="93"/>
      <c r="B40" s="93"/>
      <c r="C40" s="243" t="s">
        <v>240</v>
      </c>
      <c r="D40" s="243"/>
      <c r="E40" s="94">
        <f>5088635315.62/1507.5</f>
        <v>3375545.8146733</v>
      </c>
      <c r="F40" s="94">
        <f>6286544815.98/1507.5</f>
        <v>4170178.98240796</v>
      </c>
    </row>
    <row r="41" spans="1:6" ht="13.5" thickBot="1">
      <c r="A41" s="90"/>
      <c r="B41" s="245" t="s">
        <v>241</v>
      </c>
      <c r="C41" s="245"/>
      <c r="D41" s="245"/>
      <c r="E41" s="88">
        <f>69593472116.41/1507.5</f>
        <v>46164823.957817584</v>
      </c>
      <c r="F41" s="88">
        <f>77516067320.73/1507.5</f>
        <v>51420276.829671636</v>
      </c>
    </row>
    <row r="42" spans="1:6" ht="13.5" thickBot="1">
      <c r="A42" s="90"/>
      <c r="B42" s="87" t="s">
        <v>242</v>
      </c>
      <c r="C42" s="87"/>
      <c r="D42" s="87"/>
      <c r="E42" s="88">
        <f>62765044732.55/1507.5</f>
        <v>41635187.21893864</v>
      </c>
      <c r="F42" s="88">
        <f>72773272379.41/1507.5</f>
        <v>48274144.1986136</v>
      </c>
    </row>
    <row r="43" spans="1:6" ht="12.75">
      <c r="A43" s="17"/>
      <c r="B43" s="17"/>
      <c r="C43" s="244" t="s">
        <v>243</v>
      </c>
      <c r="D43" s="244"/>
      <c r="E43" s="91">
        <f>5638624567.55/1507.5</f>
        <v>3740381.1393366503</v>
      </c>
      <c r="F43" s="91">
        <f>10174242080.3/1507.5</f>
        <v>6749082.640331674</v>
      </c>
    </row>
    <row r="44" spans="1:6" ht="12.75">
      <c r="A44" s="18"/>
      <c r="B44" s="18"/>
      <c r="C44" s="101" t="s">
        <v>244</v>
      </c>
      <c r="D44" s="18"/>
      <c r="E44" s="92">
        <f>47392544096.14/1507.5</f>
        <v>31437840.196444444</v>
      </c>
      <c r="F44" s="92">
        <f>50404822096.2/1507.5</f>
        <v>33436034.55800995</v>
      </c>
    </row>
    <row r="45" spans="1:6" ht="13.5" thickBot="1">
      <c r="A45" s="93"/>
      <c r="B45" s="93"/>
      <c r="C45" s="109" t="s">
        <v>245</v>
      </c>
      <c r="D45" s="93"/>
      <c r="E45" s="94">
        <f>9733876068.86/1507.5</f>
        <v>6456965.883157546</v>
      </c>
      <c r="F45" s="94">
        <f>12194208202.91/1507.5</f>
        <v>8089027.000271973</v>
      </c>
    </row>
    <row r="46" spans="1:6" ht="13.5" thickBot="1">
      <c r="A46" s="90"/>
      <c r="B46" s="90" t="s">
        <v>246</v>
      </c>
      <c r="C46" s="90"/>
      <c r="D46" s="90"/>
      <c r="E46" s="88">
        <f>166435597430.79/1507.5</f>
        <v>110405039.75508459</v>
      </c>
      <c r="F46" s="88">
        <f>206648440530.082/1507.5</f>
        <v>137080225.89060166</v>
      </c>
    </row>
    <row r="47" spans="1:6" ht="12.75">
      <c r="A47" s="17"/>
      <c r="B47" s="17"/>
      <c r="C47" s="100" t="s">
        <v>196</v>
      </c>
      <c r="D47" s="17"/>
      <c r="E47" s="91">
        <f>165732888/1507.5</f>
        <v>109938.8975124378</v>
      </c>
      <c r="F47" s="91">
        <f>88856048/1507.5</f>
        <v>58942.65207296849</v>
      </c>
    </row>
    <row r="48" spans="1:6" ht="12.75">
      <c r="A48" s="18"/>
      <c r="B48" s="18"/>
      <c r="C48" s="242" t="s">
        <v>247</v>
      </c>
      <c r="D48" s="242"/>
      <c r="E48" s="92">
        <f>50864117330/1507.5</f>
        <v>33740708.013266996</v>
      </c>
      <c r="F48" s="92">
        <f>56562636352.34/1507.5</f>
        <v>37520820.13422222</v>
      </c>
    </row>
    <row r="49" spans="1:6" ht="12.75">
      <c r="A49" s="18"/>
      <c r="B49" s="18"/>
      <c r="C49" s="101" t="s">
        <v>248</v>
      </c>
      <c r="D49" s="18"/>
      <c r="E49" s="92">
        <f>53670891736.9/1507.5</f>
        <v>35602581.58334992</v>
      </c>
      <c r="F49" s="92">
        <f>62637919282.76/1507.5</f>
        <v>41550858.56236152</v>
      </c>
    </row>
    <row r="50" spans="1:6" ht="13.5" thickBot="1">
      <c r="A50" s="93"/>
      <c r="B50" s="93"/>
      <c r="C50" s="246" t="s">
        <v>249</v>
      </c>
      <c r="D50" s="246"/>
      <c r="E50" s="94">
        <f>61734855475.8904/1507.5</f>
        <v>40951811.26095549</v>
      </c>
      <c r="F50" s="94">
        <f>87359028846.9819/1507.5</f>
        <v>57949604.54194488</v>
      </c>
    </row>
    <row r="51" spans="1:6" ht="13.5" thickBot="1">
      <c r="A51" s="90"/>
      <c r="B51" s="248" t="s">
        <v>201</v>
      </c>
      <c r="C51" s="248"/>
      <c r="D51" s="248"/>
      <c r="E51" s="88">
        <f>13243028424.17/1507.5</f>
        <v>8784761.807077944</v>
      </c>
      <c r="F51" s="88">
        <f>16322908280.37/1507.5</f>
        <v>10827799.854308458</v>
      </c>
    </row>
    <row r="52" spans="1:6" ht="13.5" thickBot="1">
      <c r="A52" s="235" t="s">
        <v>390</v>
      </c>
      <c r="B52" s="235"/>
      <c r="C52" s="235"/>
      <c r="D52" s="235"/>
      <c r="E52" s="88">
        <f>2387484730911.18/1507.5</f>
        <v>1583737798.2827065</v>
      </c>
      <c r="F52" s="88">
        <f>2866632855363.04/1507.5</f>
        <v>1901580666.9074893</v>
      </c>
    </row>
  </sheetData>
  <sheetProtection/>
  <mergeCells count="37">
    <mergeCell ref="A52:D52"/>
    <mergeCell ref="C40:D40"/>
    <mergeCell ref="B41:D41"/>
    <mergeCell ref="C43:D43"/>
    <mergeCell ref="C48:D48"/>
    <mergeCell ref="B51:D51"/>
    <mergeCell ref="B35:D35"/>
    <mergeCell ref="B36:D36"/>
    <mergeCell ref="B37:D37"/>
    <mergeCell ref="C50:D50"/>
    <mergeCell ref="C24:D24"/>
    <mergeCell ref="C25:D25"/>
    <mergeCell ref="B38:D38"/>
    <mergeCell ref="C39:D39"/>
    <mergeCell ref="C28:D28"/>
    <mergeCell ref="C31:D31"/>
    <mergeCell ref="C33:D33"/>
    <mergeCell ref="C26:D26"/>
    <mergeCell ref="B27:D27"/>
    <mergeCell ref="C34:D34"/>
    <mergeCell ref="C17:D17"/>
    <mergeCell ref="B19:D19"/>
    <mergeCell ref="C20:D20"/>
    <mergeCell ref="C21:D21"/>
    <mergeCell ref="C29:D29"/>
    <mergeCell ref="B16:D16"/>
    <mergeCell ref="C32:D32"/>
    <mergeCell ref="C18:D18"/>
    <mergeCell ref="C30:D30"/>
    <mergeCell ref="C22:D22"/>
    <mergeCell ref="C23:D23"/>
    <mergeCell ref="C10:D10"/>
    <mergeCell ref="C11:D11"/>
    <mergeCell ref="E4:F4"/>
    <mergeCell ref="C7:D7"/>
    <mergeCell ref="C8:D8"/>
    <mergeCell ref="C9:D9"/>
  </mergeCells>
  <printOptions horizontalCentered="1"/>
  <pageMargins left="0" right="0" top="0.5" bottom="0.5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R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73" customWidth="1"/>
    <col min="2" max="2" width="5.8515625" style="6" customWidth="1"/>
    <col min="3" max="3" width="9.140625" style="6" customWidth="1"/>
    <col min="4" max="4" width="11.57421875" style="6" customWidth="1"/>
    <col min="5" max="5" width="8.28125" style="6" bestFit="1" customWidth="1"/>
    <col min="6" max="6" width="8.421875" style="6" customWidth="1"/>
    <col min="7" max="7" width="8.28125" style="6" customWidth="1"/>
    <col min="8" max="8" width="8.421875" style="6" bestFit="1" customWidth="1"/>
    <col min="9" max="10" width="9.00390625" style="6" bestFit="1" customWidth="1"/>
    <col min="11" max="11" width="8.57421875" style="6" bestFit="1" customWidth="1"/>
    <col min="12" max="12" width="7.8515625" style="6" bestFit="1" customWidth="1"/>
    <col min="13" max="13" width="7.28125" style="6" bestFit="1" customWidth="1"/>
    <col min="14" max="14" width="9.7109375" style="6" bestFit="1" customWidth="1"/>
    <col min="15" max="15" width="10.421875" style="6" bestFit="1" customWidth="1"/>
    <col min="16" max="16" width="6.8515625" style="6" bestFit="1" customWidth="1"/>
    <col min="17" max="17" width="10.8515625" style="6" bestFit="1" customWidth="1"/>
    <col min="18" max="16384" width="9.140625" style="6" customWidth="1"/>
  </cols>
  <sheetData>
    <row r="1" s="95" customFormat="1" ht="19.5" customHeight="1">
      <c r="A1" s="128" t="s">
        <v>250</v>
      </c>
    </row>
    <row r="2" s="95" customFormat="1" ht="12.75">
      <c r="A2" s="73" t="s">
        <v>140</v>
      </c>
    </row>
    <row r="3" ht="6.75" customHeight="1" thickBot="1"/>
    <row r="4" spans="5:17" ht="13.5" customHeight="1" thickBot="1">
      <c r="E4" s="235" t="s">
        <v>164</v>
      </c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7" s="24" customFormat="1" ht="13.5" customHeight="1" thickBot="1">
      <c r="A5" s="129"/>
      <c r="B5" s="110"/>
      <c r="E5" s="250" t="s">
        <v>124</v>
      </c>
      <c r="F5" s="250" t="s">
        <v>125</v>
      </c>
      <c r="G5" s="250" t="s">
        <v>126</v>
      </c>
      <c r="H5" s="251" t="s">
        <v>142</v>
      </c>
      <c r="I5" s="251"/>
      <c r="J5" s="251"/>
      <c r="K5" s="251"/>
      <c r="L5" s="251"/>
      <c r="M5" s="251"/>
      <c r="N5" s="251"/>
      <c r="O5" s="251"/>
      <c r="P5" s="250" t="s">
        <v>143</v>
      </c>
      <c r="Q5" s="250" t="s">
        <v>14</v>
      </c>
    </row>
    <row r="6" spans="1:17" s="24" customFormat="1" ht="18.75" thickBot="1">
      <c r="A6" s="129"/>
      <c r="B6" s="110"/>
      <c r="E6" s="252"/>
      <c r="F6" s="252"/>
      <c r="G6" s="252"/>
      <c r="H6" s="118" t="s">
        <v>391</v>
      </c>
      <c r="I6" s="119" t="s">
        <v>251</v>
      </c>
      <c r="J6" s="119" t="s">
        <v>252</v>
      </c>
      <c r="K6" s="118" t="s">
        <v>129</v>
      </c>
      <c r="L6" s="119" t="s">
        <v>130</v>
      </c>
      <c r="M6" s="118" t="s">
        <v>253</v>
      </c>
      <c r="N6" s="118" t="s">
        <v>254</v>
      </c>
      <c r="O6" s="119" t="s">
        <v>131</v>
      </c>
      <c r="P6" s="252"/>
      <c r="Q6" s="252"/>
    </row>
    <row r="7" spans="1:17" s="96" customFormat="1" ht="16.5" thickBot="1">
      <c r="A7" s="245" t="s">
        <v>273</v>
      </c>
      <c r="B7" s="245"/>
      <c r="C7" s="245"/>
      <c r="D7" s="245"/>
      <c r="E7" s="120">
        <v>171821624</v>
      </c>
      <c r="F7" s="120">
        <f>139360643476.5/1507.5</f>
        <v>92444871.29452737</v>
      </c>
      <c r="G7" s="120">
        <f>71652029428.1349/1507.5</f>
        <v>47530367.779857315</v>
      </c>
      <c r="H7" s="120">
        <f>36989705670.0347/1507.5</f>
        <v>24537118.189077742</v>
      </c>
      <c r="I7" s="120">
        <f>54069779257.6502/1507.5</f>
        <v>35867183.58716431</v>
      </c>
      <c r="J7" s="120">
        <f>155619197176.185/1507.5</f>
        <v>103229981.54307462</v>
      </c>
      <c r="K7" s="120">
        <f>278179944288.578/1507.5</f>
        <v>184530642.97749785</v>
      </c>
      <c r="L7" s="120">
        <f>55757972908.5021/1507.5</f>
        <v>36987046.70547403</v>
      </c>
      <c r="M7" s="120">
        <f>14483672475.6652/1507.5</f>
        <v>9607742.935764642</v>
      </c>
      <c r="N7" s="120">
        <f>10810665642.0466/1507.5</f>
        <v>7171254.1572448425</v>
      </c>
      <c r="O7" s="120">
        <f>37837129674.5089/1507.5</f>
        <v>25099256.832178377</v>
      </c>
      <c r="P7" s="120">
        <f>2343618560.2945/1507.5</f>
        <v>1554639.1776414593</v>
      </c>
      <c r="Q7" s="121">
        <f>1116125457402.63/1507.5</f>
        <v>740381729.6203183</v>
      </c>
    </row>
    <row r="8" spans="1:17" s="96" customFormat="1" ht="15.75">
      <c r="A8" s="14"/>
      <c r="B8" s="244" t="s">
        <v>274</v>
      </c>
      <c r="C8" s="244"/>
      <c r="D8" s="244"/>
      <c r="E8" s="122">
        <v>183580581</v>
      </c>
      <c r="F8" s="122">
        <v>92502644</v>
      </c>
      <c r="G8" s="122">
        <f>67808804910.83/1507.5</f>
        <v>44980965.11497844</v>
      </c>
      <c r="H8" s="122">
        <f>34216750807.42/1507.5</f>
        <v>22697678.810892206</v>
      </c>
      <c r="I8" s="122">
        <f>60963258356.6687/1507.5</f>
        <v>40439972.375899635</v>
      </c>
      <c r="J8" s="122">
        <f>167741196965.841/1507.5</f>
        <v>111271109.098402</v>
      </c>
      <c r="K8" s="122">
        <f>281556199846.95/1507.5</f>
        <v>186770281.82218906</v>
      </c>
      <c r="L8" s="122">
        <f>53818874212.14/1507.5</f>
        <v>35700745.746029854</v>
      </c>
      <c r="M8" s="122">
        <f>13593483759.6/1507.5</f>
        <v>9017236.32477612</v>
      </c>
      <c r="N8" s="122">
        <f>8676856086.675/1507.5</f>
        <v>5755791.76562189</v>
      </c>
      <c r="O8" s="122">
        <f>35820904495.245/1507.5</f>
        <v>23761794.026696518</v>
      </c>
      <c r="P8" s="122">
        <f>1680715890.41/1507.5</f>
        <v>1114902.7465406302</v>
      </c>
      <c r="Q8" s="123">
        <v>757593703</v>
      </c>
    </row>
    <row r="9" spans="1:17" s="96" customFormat="1" ht="15.75">
      <c r="A9" s="15"/>
      <c r="B9" s="15"/>
      <c r="C9" s="242" t="s">
        <v>275</v>
      </c>
      <c r="D9" s="242"/>
      <c r="E9" s="124">
        <v>175316037</v>
      </c>
      <c r="F9" s="124">
        <v>92234543</v>
      </c>
      <c r="G9" s="124">
        <f>49807834035.64/1507.5</f>
        <v>33040022.57753897</v>
      </c>
      <c r="H9" s="124">
        <f>23358968473.4/1507.5</f>
        <v>15495169.799933666</v>
      </c>
      <c r="I9" s="124">
        <f>36754395993.9065/1507.5</f>
        <v>24381025.534929685</v>
      </c>
      <c r="J9" s="124">
        <f>109430463893.174/1507.5</f>
        <v>72590689.14970082</v>
      </c>
      <c r="K9" s="124">
        <f>220088755781.44/1507.5</f>
        <v>145995857.898136</v>
      </c>
      <c r="L9" s="124">
        <f>42801382093.04/1507.5</f>
        <v>28392293.262381427</v>
      </c>
      <c r="M9" s="124">
        <f>9801983004.41/1507.5</f>
        <v>6502144.6132072965</v>
      </c>
      <c r="N9" s="124">
        <f>6880569890.415/1507.5</f>
        <v>4564225.466278607</v>
      </c>
      <c r="O9" s="124">
        <f>25992496220.465/1507.5</f>
        <v>17242120.21258043</v>
      </c>
      <c r="P9" s="124">
        <f>1217093761.5/1507.5</f>
        <v>807359.0457711443</v>
      </c>
      <c r="Q9" s="125">
        <v>616561488</v>
      </c>
    </row>
    <row r="10" spans="1:17" s="96" customFormat="1" ht="15.75">
      <c r="A10" s="15"/>
      <c r="B10" s="15"/>
      <c r="C10" s="242" t="s">
        <v>276</v>
      </c>
      <c r="D10" s="242"/>
      <c r="E10" s="124">
        <v>2971092</v>
      </c>
      <c r="F10" s="124">
        <v>47677</v>
      </c>
      <c r="G10" s="124">
        <f>6104002762.97/1507.5</f>
        <v>4049089.7266799337</v>
      </c>
      <c r="H10" s="124">
        <f>3409617556.34/1507.5</f>
        <v>2261769.523276949</v>
      </c>
      <c r="I10" s="124">
        <f>7450690892.98216/1507.5</f>
        <v>4942415.186057817</v>
      </c>
      <c r="J10" s="124">
        <f>19856249513.6478/1507.5</f>
        <v>13171641.468423085</v>
      </c>
      <c r="K10" s="124">
        <f>22360508917.92/1507.5</f>
        <v>14832841.736597015</v>
      </c>
      <c r="L10" s="124">
        <f>2958836394.26/1507.5</f>
        <v>1962743.8767893866</v>
      </c>
      <c r="M10" s="124">
        <f>1031976215.65/1507.5</f>
        <v>684561.3370812604</v>
      </c>
      <c r="N10" s="124">
        <f>454684247.47/1507.5</f>
        <v>301614.7578573798</v>
      </c>
      <c r="O10" s="124">
        <f>3449154245.74/1507.5</f>
        <v>2287996.182912106</v>
      </c>
      <c r="P10" s="124">
        <f>207406604.17/1507.5</f>
        <v>137583.1536782753</v>
      </c>
      <c r="Q10" s="125">
        <v>47651026</v>
      </c>
    </row>
    <row r="11" spans="1:17" s="96" customFormat="1" ht="15.75">
      <c r="A11" s="15"/>
      <c r="B11" s="15"/>
      <c r="C11" s="242" t="s">
        <v>277</v>
      </c>
      <c r="D11" s="242"/>
      <c r="E11" s="124">
        <v>5293452</v>
      </c>
      <c r="F11" s="124">
        <v>220424</v>
      </c>
      <c r="G11" s="124">
        <f>11896968112.22/1507.5</f>
        <v>7891852.810759535</v>
      </c>
      <c r="H11" s="124">
        <f>7448164777.68/1507.5</f>
        <v>4940739.487681592</v>
      </c>
      <c r="I11" s="124">
        <f>16758171469.7801/1507.5</f>
        <v>11116531.654912172</v>
      </c>
      <c r="J11" s="124">
        <f>38454483559.0199/1507.5</f>
        <v>25508778.48027854</v>
      </c>
      <c r="K11" s="124">
        <f>39106935147.59/1507.5</f>
        <v>25941582.18745605</v>
      </c>
      <c r="L11" s="124">
        <f>8058655724.84/1507.5</f>
        <v>5345708.606859039</v>
      </c>
      <c r="M11" s="124">
        <f>2759524539.54/1507.5</f>
        <v>1830530.374487562</v>
      </c>
      <c r="N11" s="124">
        <f>1341601948.79/1507.5</f>
        <v>889951.5414859038</v>
      </c>
      <c r="O11" s="124">
        <f>6379254029.04/1507.5</f>
        <v>4231677.63120398</v>
      </c>
      <c r="P11" s="124">
        <f>256215524.74/1507.5</f>
        <v>169960.5470912106</v>
      </c>
      <c r="Q11" s="125">
        <v>93381189</v>
      </c>
    </row>
    <row r="12" spans="1:17" s="96" customFormat="1" ht="15.75">
      <c r="A12" s="15"/>
      <c r="B12" s="242" t="s">
        <v>278</v>
      </c>
      <c r="C12" s="242"/>
      <c r="D12" s="242"/>
      <c r="E12" s="124">
        <v>-8658821</v>
      </c>
      <c r="F12" s="124">
        <v>0</v>
      </c>
      <c r="G12" s="124">
        <v>-2620125</v>
      </c>
      <c r="H12" s="124">
        <v>-813032</v>
      </c>
      <c r="I12" s="124">
        <v>-4097401</v>
      </c>
      <c r="J12" s="124">
        <v>-12691056</v>
      </c>
      <c r="K12" s="124">
        <v>-5756009</v>
      </c>
      <c r="L12" s="124">
        <v>-565412</v>
      </c>
      <c r="M12" s="124">
        <v>-285876</v>
      </c>
      <c r="N12" s="124">
        <v>-569764</v>
      </c>
      <c r="O12" s="124">
        <v>-273355</v>
      </c>
      <c r="P12" s="124">
        <v>457858</v>
      </c>
      <c r="Q12" s="125">
        <v>-35872993</v>
      </c>
    </row>
    <row r="13" spans="1:17" s="96" customFormat="1" ht="15.75">
      <c r="A13" s="15"/>
      <c r="B13" s="242" t="s">
        <v>279</v>
      </c>
      <c r="C13" s="242"/>
      <c r="D13" s="242"/>
      <c r="E13" s="124">
        <v>-2827765</v>
      </c>
      <c r="F13" s="124">
        <v>-116434</v>
      </c>
      <c r="G13" s="124">
        <v>-281940</v>
      </c>
      <c r="H13" s="124">
        <v>-169810</v>
      </c>
      <c r="I13" s="124">
        <v>-555308</v>
      </c>
      <c r="J13" s="124">
        <v>-452983</v>
      </c>
      <c r="K13" s="124">
        <v>-462318</v>
      </c>
      <c r="L13" s="124">
        <v>-123236</v>
      </c>
      <c r="M13" s="124">
        <v>-38279</v>
      </c>
      <c r="N13" s="124">
        <v>-93753</v>
      </c>
      <c r="O13" s="124">
        <v>-91239</v>
      </c>
      <c r="P13" s="124">
        <v>0</v>
      </c>
      <c r="Q13" s="125">
        <v>-5213064</v>
      </c>
    </row>
    <row r="14" spans="1:17" s="96" customFormat="1" ht="16.5" thickBot="1">
      <c r="A14" s="16"/>
      <c r="B14" s="243" t="s">
        <v>280</v>
      </c>
      <c r="C14" s="243"/>
      <c r="D14" s="243"/>
      <c r="E14" s="126">
        <v>-272371</v>
      </c>
      <c r="F14" s="126">
        <v>58661</v>
      </c>
      <c r="G14" s="126">
        <v>5451467</v>
      </c>
      <c r="H14" s="126">
        <v>2822281</v>
      </c>
      <c r="I14" s="126">
        <v>79921</v>
      </c>
      <c r="J14" s="126">
        <v>5102911</v>
      </c>
      <c r="K14" s="126">
        <v>3978688</v>
      </c>
      <c r="L14" s="126">
        <v>1974949</v>
      </c>
      <c r="M14" s="126">
        <v>914602</v>
      </c>
      <c r="N14" s="126">
        <v>2078979</v>
      </c>
      <c r="O14" s="126">
        <v>1702057</v>
      </c>
      <c r="P14" s="126">
        <v>-18122</v>
      </c>
      <c r="Q14" s="127">
        <v>23874083</v>
      </c>
    </row>
    <row r="15" spans="1:17" s="96" customFormat="1" ht="16.5" thickBot="1">
      <c r="A15" s="245" t="s">
        <v>281</v>
      </c>
      <c r="B15" s="245"/>
      <c r="C15" s="245"/>
      <c r="D15" s="245"/>
      <c r="E15" s="120">
        <f>34291594071.5973/1507.5</f>
        <v>22747326.08397831</v>
      </c>
      <c r="F15" s="120">
        <f>18655529951.9914/1507.5</f>
        <v>12375144.246760465</v>
      </c>
      <c r="G15" s="120">
        <f>3400962871.04703/1507.5</f>
        <v>2256028.4385054926</v>
      </c>
      <c r="H15" s="120">
        <f>2217058751.07743/1507.5</f>
        <v>1470685.7386914957</v>
      </c>
      <c r="I15" s="120">
        <f>3259902728.78262/1507.5</f>
        <v>2162456.2048309254</v>
      </c>
      <c r="J15" s="120">
        <f>9006090257.11699/1507.5</f>
        <v>5974189.225284901</v>
      </c>
      <c r="K15" s="120">
        <f>10187934637.1836/1507.5</f>
        <v>6758165.596805041</v>
      </c>
      <c r="L15" s="120">
        <f>4769898151.27672/1507.5</f>
        <v>3164111.5431354693</v>
      </c>
      <c r="M15" s="120">
        <f>698731286.390243/1507.5</f>
        <v>463503.3408890501</v>
      </c>
      <c r="N15" s="120">
        <f>497344716.840892/1507.5</f>
        <v>329913.57667720865</v>
      </c>
      <c r="O15" s="120">
        <f>1646084180.52535/1507.5</f>
        <v>1091929.8046602653</v>
      </c>
      <c r="P15" s="120">
        <f>232662895.091927/1507.5</f>
        <v>154336.91216711575</v>
      </c>
      <c r="Q15" s="121">
        <v>58947791</v>
      </c>
    </row>
    <row r="16" spans="1:17" s="96" customFormat="1" ht="15.75">
      <c r="A16" s="14"/>
      <c r="B16" s="244" t="s">
        <v>282</v>
      </c>
      <c r="C16" s="244"/>
      <c r="D16" s="244"/>
      <c r="E16" s="122">
        <f>36826059014.4007/1507.5</f>
        <v>24428563.19363231</v>
      </c>
      <c r="F16" s="122">
        <f>21260889950.3267/1507.5</f>
        <v>14103409.585623017</v>
      </c>
      <c r="G16" s="122">
        <f>3648289199.58263/1507.5</f>
        <v>2420092.3380315956</v>
      </c>
      <c r="H16" s="122">
        <f>2318357911.40867/1507.5</f>
        <v>1537882.5282976252</v>
      </c>
      <c r="I16" s="122">
        <f>4048516155.6233/1507.5</f>
        <v>2685582.856134859</v>
      </c>
      <c r="J16" s="122">
        <f>9433881075.12705/1507.5</f>
        <v>6257964.22894</v>
      </c>
      <c r="K16" s="122">
        <f>10547559415.3943/1507.5</f>
        <v>6996722.663611476</v>
      </c>
      <c r="L16" s="122">
        <f>4883234981.89978/1507.5</f>
        <v>3239293.5203315294</v>
      </c>
      <c r="M16" s="122">
        <f>718109416.668283/1507.5</f>
        <v>476357.82200217777</v>
      </c>
      <c r="N16" s="122">
        <f>545030411.660131/1507.5</f>
        <v>361545.87838151306</v>
      </c>
      <c r="O16" s="122">
        <f>1814803445.50317/1507.5</f>
        <v>1203849.7150933135</v>
      </c>
      <c r="P16" s="122">
        <f>259513997.521176/1507.5</f>
        <v>172148.5887370985</v>
      </c>
      <c r="Q16" s="123">
        <v>63883413</v>
      </c>
    </row>
    <row r="17" spans="1:17" s="96" customFormat="1" ht="15.75">
      <c r="A17" s="15"/>
      <c r="B17" s="256" t="s">
        <v>283</v>
      </c>
      <c r="C17" s="256"/>
      <c r="D17" s="256"/>
      <c r="E17" s="124">
        <f>77493179.0459927/1507.5</f>
        <v>51405.09389452252</v>
      </c>
      <c r="F17" s="124">
        <f>66864959.6577431/1507.5</f>
        <v>44354.865444605704</v>
      </c>
      <c r="G17" s="124">
        <f>91306512.4396388/1507.5</f>
        <v>60568.16745581346</v>
      </c>
      <c r="H17" s="124">
        <f>33956698.4789955/1507.5</f>
        <v>22525.173120395026</v>
      </c>
      <c r="I17" s="124">
        <f>78078085.5736317/1507.5</f>
        <v>51793.09159113214</v>
      </c>
      <c r="J17" s="124">
        <f>290882654.605325/1507.5</f>
        <v>192956.98481281922</v>
      </c>
      <c r="K17" s="124">
        <f>484473035.089275/1507.5</f>
        <v>321375.1476545771</v>
      </c>
      <c r="L17" s="124">
        <f>51295000.7375729/1507.5</f>
        <v>34026.53448595217</v>
      </c>
      <c r="M17" s="124">
        <f>23803572.3928017/1507.5</f>
        <v>15790.097773002784</v>
      </c>
      <c r="N17" s="124">
        <f>27835542.9882886/1507.5</f>
        <v>18464.7051331931</v>
      </c>
      <c r="O17" s="124">
        <f>35805520.9668326/1507.5</f>
        <v>23751.589364399733</v>
      </c>
      <c r="P17" s="124">
        <f>3261565.82447698/1507.5</f>
        <v>2163.5594192218773</v>
      </c>
      <c r="Q17" s="125">
        <v>839175</v>
      </c>
    </row>
    <row r="18" spans="1:17" s="96" customFormat="1" ht="15.75">
      <c r="A18" s="15"/>
      <c r="B18" s="242" t="s">
        <v>284</v>
      </c>
      <c r="C18" s="242"/>
      <c r="D18" s="242"/>
      <c r="E18" s="124">
        <f>-419661529.10438/1507.5</f>
        <v>-278382.44053358544</v>
      </c>
      <c r="F18" s="124">
        <f>-603134.643523816/1507.5</f>
        <v>-400.0893157703589</v>
      </c>
      <c r="G18" s="124">
        <f>-14412799.768114/1507.5</f>
        <v>-9560.72953108723</v>
      </c>
      <c r="H18" s="124">
        <f>-5522105.52014839/1507.5</f>
        <v>-3663.0882389044045</v>
      </c>
      <c r="I18" s="124">
        <f>-42068524.5898816/1507.5</f>
        <v>-27906.152298428922</v>
      </c>
      <c r="J18" s="124">
        <f>-59131130.8440912/1507.5</f>
        <v>-39224.63074234905</v>
      </c>
      <c r="K18" s="124">
        <f>-21219871.4034195/1507.5</f>
        <v>-14076.199935933333</v>
      </c>
      <c r="L18" s="124">
        <f>-1223757.28552144/1507.5</f>
        <v>-811.7792938782354</v>
      </c>
      <c r="M18" s="124">
        <f>-3735254.53090375/1507.5</f>
        <v>-2477.780783352405</v>
      </c>
      <c r="N18" s="124">
        <f>-1275082.57587222/1507.5</f>
        <v>-845.8259209765971</v>
      </c>
      <c r="O18" s="124">
        <f>-22608787.5499035/1507.5</f>
        <v>-14997.53734653632</v>
      </c>
      <c r="P18" s="124">
        <f>-6903288.00214426/1507.5</f>
        <v>-4579.295523810455</v>
      </c>
      <c r="Q18" s="125">
        <v>-396926</v>
      </c>
    </row>
    <row r="19" spans="1:17" s="96" customFormat="1" ht="16.5" thickBot="1">
      <c r="A19" s="16"/>
      <c r="B19" s="243" t="s">
        <v>285</v>
      </c>
      <c r="C19" s="243"/>
      <c r="D19" s="243"/>
      <c r="E19" s="126">
        <f>-2192296592.74506/1507.5</f>
        <v>-1454259.7630149652</v>
      </c>
      <c r="F19" s="126">
        <f>-2671621823.34948/1507.5</f>
        <v>-1772220.1149913634</v>
      </c>
      <c r="G19" s="126">
        <f>-324220041.20712/1507.5</f>
        <v>-215071.33745082587</v>
      </c>
      <c r="H19" s="126">
        <f>-129733753.29009/1507.5</f>
        <v>-86058.87448762188</v>
      </c>
      <c r="I19" s="126">
        <f>-824622987.824431/1507.5</f>
        <v>-547013.5905966375</v>
      </c>
      <c r="J19" s="126">
        <f>-659542341.771294/1507.5</f>
        <v>-437507.3577255682</v>
      </c>
      <c r="K19" s="126">
        <f>-822877941.896616/1507.5</f>
        <v>-545856.0145251184</v>
      </c>
      <c r="L19" s="126">
        <f>-163408074.075102/1507.5</f>
        <v>-108396.73238812736</v>
      </c>
      <c r="M19" s="126">
        <f>-39446448.1399374/1507.5</f>
        <v>-26166.798102777713</v>
      </c>
      <c r="N19" s="126">
        <f>-74246155.2316551/1507.5</f>
        <v>-49251.1809165208</v>
      </c>
      <c r="O19" s="126">
        <f>-181915998.394747/1507.5</f>
        <v>-120673.96245091011</v>
      </c>
      <c r="P19" s="126">
        <f>-23209380.2515818/1507.5</f>
        <v>-15395.94046539423</v>
      </c>
      <c r="Q19" s="127">
        <v>-5377782</v>
      </c>
    </row>
    <row r="20" spans="1:17" s="96" customFormat="1" ht="27" customHeight="1" thickBot="1">
      <c r="A20" s="245" t="s">
        <v>286</v>
      </c>
      <c r="B20" s="245"/>
      <c r="C20" s="245"/>
      <c r="D20" s="245"/>
      <c r="E20" s="120">
        <v>0</v>
      </c>
      <c r="F20" s="120">
        <f>10287682031/1507.5</f>
        <v>6824333.022222222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1">
        <v>6824333</v>
      </c>
    </row>
    <row r="21" spans="1:17" s="96" customFormat="1" ht="16.5" thickBot="1">
      <c r="A21" s="245" t="s">
        <v>287</v>
      </c>
      <c r="B21" s="245"/>
      <c r="C21" s="245"/>
      <c r="D21" s="245"/>
      <c r="E21" s="120">
        <f>-62305410206.711/1507.5</f>
        <v>-41330288.694335654</v>
      </c>
      <c r="F21" s="120">
        <f>-32682634114.4/1507.5</f>
        <v>-21680022.629784413</v>
      </c>
      <c r="G21" s="120">
        <f>-17060682985.6678/1507.5</f>
        <v>-11317202.643892406</v>
      </c>
      <c r="H21" s="120">
        <f>-11740208075.38/1507.5</f>
        <v>-7787866.053320066</v>
      </c>
      <c r="I21" s="120">
        <v>-13867436</v>
      </c>
      <c r="J21" s="120">
        <f>-99838481529.2767/1507.5</f>
        <v>-66227848.443964645</v>
      </c>
      <c r="K21" s="120">
        <f>-207333375949.203/1507.5</f>
        <v>-137534577.7440816</v>
      </c>
      <c r="L21" s="120">
        <f>-25303119666.2896/1507.5</f>
        <v>-16784822.332530417</v>
      </c>
      <c r="M21" s="120">
        <f>-3590413582.70959/1507.5</f>
        <v>-2381700.5523778372</v>
      </c>
      <c r="N21" s="120">
        <f>-3773478146.68/1507.5</f>
        <v>-2503136.415708126</v>
      </c>
      <c r="O21" s="120">
        <f>-6368678158.23184/1507.5</f>
        <v>-4224662.128180325</v>
      </c>
      <c r="P21" s="120">
        <f>596136321.17425/1507.5</f>
        <v>395446.97922006634</v>
      </c>
      <c r="Q21" s="121">
        <v>-325244117</v>
      </c>
    </row>
    <row r="22" spans="1:17" s="96" customFormat="1" ht="15.75">
      <c r="A22" s="54"/>
      <c r="B22" s="244" t="s">
        <v>90</v>
      </c>
      <c r="C22" s="244"/>
      <c r="D22" s="244"/>
      <c r="E22" s="122">
        <v>-38700317</v>
      </c>
      <c r="F22" s="122">
        <v>-21123401</v>
      </c>
      <c r="G22" s="122">
        <v>-22025549</v>
      </c>
      <c r="H22" s="122">
        <v>-5532411</v>
      </c>
      <c r="I22" s="122">
        <v>-12507142</v>
      </c>
      <c r="J22" s="122">
        <v>-61974175</v>
      </c>
      <c r="K22" s="122">
        <v>-137679058</v>
      </c>
      <c r="L22" s="122">
        <v>-11317208</v>
      </c>
      <c r="M22" s="122">
        <v>-2233053</v>
      </c>
      <c r="N22" s="122">
        <v>-1898359</v>
      </c>
      <c r="O22" s="122">
        <v>-4903500</v>
      </c>
      <c r="P22" s="122">
        <v>-241610</v>
      </c>
      <c r="Q22" s="123">
        <v>-320135783</v>
      </c>
    </row>
    <row r="23" spans="1:17" s="96" customFormat="1" ht="27" customHeight="1">
      <c r="A23" s="15"/>
      <c r="B23" s="242" t="s">
        <v>288</v>
      </c>
      <c r="C23" s="242"/>
      <c r="D23" s="242"/>
      <c r="E23" s="124">
        <f>-2934687021.03/1507.5</f>
        <v>-1946724.3920597017</v>
      </c>
      <c r="F23" s="124">
        <v>-556621</v>
      </c>
      <c r="G23" s="124">
        <f>15200101954.8795/1507.5</f>
        <v>10082986.37139602</v>
      </c>
      <c r="H23" s="124">
        <f>-3503372089.93/1507.5</f>
        <v>-2323961.585359867</v>
      </c>
      <c r="I23" s="124">
        <f>-2027201969.78716/1507.5</f>
        <v>-1344744.2585652801</v>
      </c>
      <c r="J23" s="124">
        <f>-6309307638.89794/1507.5</f>
        <v>-4185278.699103111</v>
      </c>
      <c r="K23" s="124">
        <f>47107628.9385004/1507.5</f>
        <v>31248.84175024902</v>
      </c>
      <c r="L23" s="124">
        <f>-7111189486.8911/1507.5</f>
        <v>-4717206.9564783415</v>
      </c>
      <c r="M23" s="124">
        <f>-495944432.76045/1507.5</f>
        <v>-328984.6983485572</v>
      </c>
      <c r="N23" s="124">
        <f>-869367069.48/1507.5</f>
        <v>-576694.5734527364</v>
      </c>
      <c r="O23" s="124">
        <f>180797224.4904/1507.5</f>
        <v>119931.82387422885</v>
      </c>
      <c r="P23" s="124">
        <f>771992798.975/1507.5</f>
        <v>512101.35918739636</v>
      </c>
      <c r="Q23" s="125">
        <v>-5233948</v>
      </c>
    </row>
    <row r="24" spans="1:17" s="96" customFormat="1" ht="27" customHeight="1">
      <c r="A24" s="21"/>
      <c r="B24" s="242" t="s">
        <v>289</v>
      </c>
      <c r="C24" s="242"/>
      <c r="D24" s="242"/>
      <c r="E24" s="124">
        <f>-961968154.5/1507.5</f>
        <v>-638121.495522388</v>
      </c>
      <c r="F24" s="124">
        <v>0</v>
      </c>
      <c r="G24" s="124">
        <f>358478672.239966/1507.5</f>
        <v>237796.79750578175</v>
      </c>
      <c r="H24" s="124">
        <f>81133347.24/1507.5</f>
        <v>53819.7991641791</v>
      </c>
      <c r="I24" s="124">
        <f>32674476.2569887/1507.5</f>
        <v>21674.611115747066</v>
      </c>
      <c r="J24" s="124">
        <f>-51484782.6960424/1507.5</f>
        <v>-34152.426332366435</v>
      </c>
      <c r="K24" s="124">
        <f>14179782.96/1507.5</f>
        <v>9406.15785074627</v>
      </c>
      <c r="L24" s="124">
        <f>-1113968080.27855/1507.5</f>
        <v>-738950.6336839469</v>
      </c>
      <c r="M24" s="124">
        <f>284665827.0905/1507.5</f>
        <v>188833.05279635158</v>
      </c>
      <c r="N24" s="124">
        <f>-18752540.57/1507.5</f>
        <v>-12439.49623217247</v>
      </c>
      <c r="O24" s="124">
        <f>776915093.807927/1507.5</f>
        <v>515366.563056668</v>
      </c>
      <c r="P24" s="124">
        <f>155471612/1507.5</f>
        <v>103132.08092868989</v>
      </c>
      <c r="Q24" s="125">
        <v>-293635</v>
      </c>
    </row>
    <row r="25" spans="1:17" s="96" customFormat="1" ht="27" customHeight="1" thickBot="1">
      <c r="A25" s="16"/>
      <c r="B25" s="243" t="s">
        <v>290</v>
      </c>
      <c r="C25" s="243"/>
      <c r="D25" s="243"/>
      <c r="E25" s="126">
        <f>-68027384.921/1507.5</f>
        <v>-45125.96014660034</v>
      </c>
      <c r="F25" s="126">
        <v>0</v>
      </c>
      <c r="G25" s="126">
        <f>584251018.977263/1507.5</f>
        <v>387562.86499320925</v>
      </c>
      <c r="H25" s="126">
        <f>22140900.03/1507.5</f>
        <v>14687.164199004976</v>
      </c>
      <c r="I25" s="126">
        <f>-56115851.6350608/1507.5</f>
        <v>-37224.44552906189</v>
      </c>
      <c r="J25" s="126">
        <f>-51620283.3545002/1507.5</f>
        <v>-34242.31068291887</v>
      </c>
      <c r="K25" s="126">
        <f>156517325.948125/1507.5</f>
        <v>103825.75518946932</v>
      </c>
      <c r="L25" s="126">
        <f>-17270544.7560267/1507.5</f>
        <v>-11456.414431858508</v>
      </c>
      <c r="M25" s="126">
        <f>-12808253.757591/1507.5</f>
        <v>-8496.354068053732</v>
      </c>
      <c r="N25" s="126">
        <f>-23582671.31/1507.5</f>
        <v>-15643.563058043117</v>
      </c>
      <c r="O25" s="126">
        <f>65635151.4502342/1507.5</f>
        <v>43539.07227212882</v>
      </c>
      <c r="P25" s="126">
        <f>32898811.41925/1507.5</f>
        <v>21823.42382703151</v>
      </c>
      <c r="Q25" s="127">
        <v>419249</v>
      </c>
    </row>
    <row r="26" spans="1:17" s="96" customFormat="1" ht="27" customHeight="1" thickBot="1">
      <c r="A26" s="245" t="s">
        <v>291</v>
      </c>
      <c r="B26" s="245"/>
      <c r="C26" s="245"/>
      <c r="D26" s="245"/>
      <c r="E26" s="120">
        <f>-105199591786.76/1507.5</f>
        <v>-69784140.48872969</v>
      </c>
      <c r="F26" s="120">
        <f>-104368632323/1507.5</f>
        <v>-69232923.5973466</v>
      </c>
      <c r="G26" s="120">
        <f>-281118674.623496/1507.5</f>
        <v>-186480.04950148988</v>
      </c>
      <c r="H26" s="120">
        <f>-36842417.3508327/1507.5</f>
        <v>-24439.41449474806</v>
      </c>
      <c r="I26" s="120">
        <f>-1558167911.09783/1507.5</f>
        <v>-1033610.5546254262</v>
      </c>
      <c r="J26" s="120">
        <f>-3105259280.76439/1507.5</f>
        <v>-2059873.4864108723</v>
      </c>
      <c r="K26" s="120">
        <f>-212997216.38413/1507.5</f>
        <v>-141291.6858269519</v>
      </c>
      <c r="L26" s="120">
        <f>-82238792.8357044/1507.5</f>
        <v>-54553.09640842746</v>
      </c>
      <c r="M26" s="120">
        <f>-73400674.7711459/1507.5</f>
        <v>-48690.33152314819</v>
      </c>
      <c r="N26" s="120">
        <f>71063801.7669805/1507.5</f>
        <v>47140.16700960564</v>
      </c>
      <c r="O26" s="120">
        <f>44458850.1392883/1507.5</f>
        <v>29491.774553425075</v>
      </c>
      <c r="P26" s="120">
        <v>0</v>
      </c>
      <c r="Q26" s="121">
        <v>-142489371</v>
      </c>
    </row>
    <row r="27" spans="1:17" s="96" customFormat="1" ht="15.75">
      <c r="A27" s="14"/>
      <c r="B27" s="257" t="s">
        <v>272</v>
      </c>
      <c r="C27" s="257"/>
      <c r="D27" s="257"/>
      <c r="E27" s="122">
        <f>-68917805087.11/1507.5</f>
        <v>-45716620.28995688</v>
      </c>
      <c r="F27" s="122">
        <v>-69232924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3">
        <v>-114949544</v>
      </c>
    </row>
    <row r="28" spans="1:17" s="96" customFormat="1" ht="27" customHeight="1" thickBot="1">
      <c r="A28" s="16"/>
      <c r="B28" s="258" t="s">
        <v>271</v>
      </c>
      <c r="C28" s="258"/>
      <c r="D28" s="258"/>
      <c r="E28" s="126">
        <f>-36281786699.65/1507.5</f>
        <v>-24067520.198772803</v>
      </c>
      <c r="F28" s="126">
        <v>0</v>
      </c>
      <c r="G28" s="126">
        <f>-281118674.623496/1507.5</f>
        <v>-186480.04950148988</v>
      </c>
      <c r="H28" s="126">
        <f>-36842417.3508327/1507.5</f>
        <v>-24439.41449474806</v>
      </c>
      <c r="I28" s="126">
        <v>-1033611</v>
      </c>
      <c r="J28" s="126">
        <f>-3105259280.76439/1507.5</f>
        <v>-2059873.4864108723</v>
      </c>
      <c r="K28" s="126">
        <f>-212997216.38413/1507.5</f>
        <v>-141291.6858269519</v>
      </c>
      <c r="L28" s="126">
        <f>-82238792.8357044/1507.5</f>
        <v>-54553.09640842746</v>
      </c>
      <c r="M28" s="126">
        <f>-73400674.7711459/1507.5</f>
        <v>-48690.33152314819</v>
      </c>
      <c r="N28" s="126">
        <f>71063801.7669805/1507.5</f>
        <v>47140.16700960564</v>
      </c>
      <c r="O28" s="126">
        <f>44458850.1392883/1507.5</f>
        <v>29491.774553425075</v>
      </c>
      <c r="P28" s="126">
        <v>0</v>
      </c>
      <c r="Q28" s="127">
        <v>-27539827</v>
      </c>
    </row>
    <row r="29" spans="1:17" s="96" customFormat="1" ht="27" customHeight="1">
      <c r="A29" s="113"/>
      <c r="B29" s="114"/>
      <c r="C29" s="114"/>
      <c r="D29" s="114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6"/>
    </row>
    <row r="30" s="95" customFormat="1" ht="19.5" customHeight="1">
      <c r="A30" s="128" t="s">
        <v>392</v>
      </c>
    </row>
    <row r="31" s="95" customFormat="1" ht="12.75">
      <c r="A31" s="73" t="s">
        <v>140</v>
      </c>
    </row>
    <row r="32" ht="6.75" customHeight="1" thickBot="1"/>
    <row r="33" spans="5:17" ht="13.5" customHeight="1" thickBot="1">
      <c r="E33" s="235" t="s">
        <v>164</v>
      </c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</row>
    <row r="34" spans="1:17" s="24" customFormat="1" ht="13.5" customHeight="1" thickBot="1">
      <c r="A34" s="129"/>
      <c r="B34" s="110"/>
      <c r="E34" s="250" t="s">
        <v>124</v>
      </c>
      <c r="F34" s="250" t="s">
        <v>125</v>
      </c>
      <c r="G34" s="250" t="s">
        <v>126</v>
      </c>
      <c r="H34" s="251" t="s">
        <v>142</v>
      </c>
      <c r="I34" s="251"/>
      <c r="J34" s="251"/>
      <c r="K34" s="251"/>
      <c r="L34" s="251"/>
      <c r="M34" s="251"/>
      <c r="N34" s="251"/>
      <c r="O34" s="251"/>
      <c r="P34" s="250" t="s">
        <v>143</v>
      </c>
      <c r="Q34" s="250" t="s">
        <v>14</v>
      </c>
    </row>
    <row r="35" spans="1:17" s="24" customFormat="1" ht="18.75" thickBot="1">
      <c r="A35" s="129"/>
      <c r="B35" s="110"/>
      <c r="E35" s="252"/>
      <c r="F35" s="252"/>
      <c r="G35" s="252"/>
      <c r="H35" s="118" t="s">
        <v>391</v>
      </c>
      <c r="I35" s="119" t="s">
        <v>251</v>
      </c>
      <c r="J35" s="119" t="s">
        <v>252</v>
      </c>
      <c r="K35" s="118" t="s">
        <v>129</v>
      </c>
      <c r="L35" s="119" t="s">
        <v>130</v>
      </c>
      <c r="M35" s="118" t="s">
        <v>253</v>
      </c>
      <c r="N35" s="118" t="s">
        <v>254</v>
      </c>
      <c r="O35" s="119" t="s">
        <v>131</v>
      </c>
      <c r="P35" s="252"/>
      <c r="Q35" s="252"/>
    </row>
    <row r="36" spans="1:17" s="96" customFormat="1" ht="15.75">
      <c r="A36" s="260" t="s">
        <v>270</v>
      </c>
      <c r="B36" s="260"/>
      <c r="C36" s="260"/>
      <c r="D36" s="260"/>
      <c r="E36" s="122">
        <f>-144454268/1507.5</f>
        <v>-95823.72669983417</v>
      </c>
      <c r="F36" s="122">
        <f>-858032000/1507.5</f>
        <v>-569175.456053068</v>
      </c>
      <c r="G36" s="122">
        <v>0</v>
      </c>
      <c r="H36" s="122">
        <v>0</v>
      </c>
      <c r="I36" s="122">
        <v>0</v>
      </c>
      <c r="J36" s="122">
        <v>0</v>
      </c>
      <c r="K36" s="122">
        <v>0</v>
      </c>
      <c r="L36" s="122">
        <v>0</v>
      </c>
      <c r="M36" s="122">
        <v>0</v>
      </c>
      <c r="N36" s="122">
        <v>0</v>
      </c>
      <c r="O36" s="122">
        <v>0</v>
      </c>
      <c r="P36" s="122">
        <v>0</v>
      </c>
      <c r="Q36" s="123">
        <v>-664999</v>
      </c>
    </row>
    <row r="37" spans="1:17" s="96" customFormat="1" ht="16.5" thickBot="1">
      <c r="A37" s="259" t="s">
        <v>269</v>
      </c>
      <c r="B37" s="259"/>
      <c r="C37" s="259"/>
      <c r="D37" s="259"/>
      <c r="E37" s="126">
        <f>-15129802851.4533/1507.5</f>
        <v>-10036353.466967363</v>
      </c>
      <c r="F37" s="126">
        <f>-2320256431.13171/1507.5</f>
        <v>-1539141.911198481</v>
      </c>
      <c r="G37" s="126">
        <f>-20463481910.0932/1507.5</f>
        <v>-13574449.028254196</v>
      </c>
      <c r="H37" s="126">
        <f>-6653111670.30107/1507.5</f>
        <v>-4413341.0748265805</v>
      </c>
      <c r="I37" s="126">
        <f>-417433179.528718/1507.5</f>
        <v>-276904.26502734196</v>
      </c>
      <c r="J37" s="126">
        <f>-4968580677.71643/1507.5</f>
        <v>-3295907.5805747462</v>
      </c>
      <c r="K37" s="126">
        <f>-2552966482.21245/1507.5</f>
        <v>-1693510.1042868658</v>
      </c>
      <c r="L37" s="126">
        <f>14216810.651662/1507.5</f>
        <v>9430.720166939967</v>
      </c>
      <c r="M37" s="126">
        <f>-3789119807.49414/1507.5</f>
        <v>-2513512.3101121993</v>
      </c>
      <c r="N37" s="126">
        <f>-3480455095.70023/1507.5</f>
        <v>-2308759.599137798</v>
      </c>
      <c r="O37" s="126">
        <f>-13047805022.3591/1507.5</f>
        <v>-8655260.379674362</v>
      </c>
      <c r="P37" s="126">
        <f>-1007876346.17585/1507.5</f>
        <v>-668574.6906639137</v>
      </c>
      <c r="Q37" s="127">
        <v>-48966284</v>
      </c>
    </row>
    <row r="38" spans="1:17" s="96" customFormat="1" ht="15.75">
      <c r="A38" s="32"/>
      <c r="B38" s="261" t="s">
        <v>268</v>
      </c>
      <c r="C38" s="261"/>
      <c r="D38" s="261"/>
      <c r="E38" s="132">
        <f>-47250080668.18/1507.5</f>
        <v>-31343337.093320068</v>
      </c>
      <c r="F38" s="132">
        <f>-2545695323/1507.5</f>
        <v>-1688686.7814262023</v>
      </c>
      <c r="G38" s="132">
        <f>-49644002225.63/1507.5</f>
        <v>-32931344.759953562</v>
      </c>
      <c r="H38" s="132">
        <f>-18918560483.56/1507.5</f>
        <v>-12549625.528066335</v>
      </c>
      <c r="I38" s="132">
        <f>-1556231185.11991/1507.5</f>
        <v>-1032325.8276085638</v>
      </c>
      <c r="J38" s="132">
        <f>-8371355722.84524/1507.5</f>
        <v>-5553138.124607124</v>
      </c>
      <c r="K38" s="132">
        <f>-49682453119.21/1507.5</f>
        <v>-32956851.15702156</v>
      </c>
      <c r="L38" s="132">
        <f>-9286746498.99/1507.5</f>
        <v>-6160362.520059701</v>
      </c>
      <c r="M38" s="132">
        <f>-4771960270.13/1507.5</f>
        <v>-3165479.4495058046</v>
      </c>
      <c r="N38" s="132">
        <f>-7876785962.5/1507.5</f>
        <v>-5225065.31509121</v>
      </c>
      <c r="O38" s="132">
        <f>-19299955861.06/1507.5</f>
        <v>-12802624.120106136</v>
      </c>
      <c r="P38" s="132">
        <f>-505652554.02/1507.5</f>
        <v>-335424.5797810945</v>
      </c>
      <c r="Q38" s="133">
        <v>-145744265</v>
      </c>
    </row>
    <row r="39" spans="1:17" s="96" customFormat="1" ht="15.75">
      <c r="A39" s="15"/>
      <c r="B39" s="15"/>
      <c r="C39" s="242" t="s">
        <v>267</v>
      </c>
      <c r="D39" s="242"/>
      <c r="E39" s="124">
        <f>-4540169113.01/1507.5</f>
        <v>-3011720.804650083</v>
      </c>
      <c r="F39" s="124">
        <v>0</v>
      </c>
      <c r="G39" s="124">
        <f>-8401098643.83/1507.5</f>
        <v>-5572868.088776119</v>
      </c>
      <c r="H39" s="124">
        <f>-1544160490.08/1507.5</f>
        <v>-1024318.7330547263</v>
      </c>
      <c r="I39" s="124">
        <f>-659989034.771862/1507.5</f>
        <v>-437803.67149045574</v>
      </c>
      <c r="J39" s="124">
        <f>-3413581021.17814/1507.5</f>
        <v>-2264398.6873486834</v>
      </c>
      <c r="K39" s="124">
        <f>-3975086839.55/1507.5</f>
        <v>-2636873.525406302</v>
      </c>
      <c r="L39" s="124">
        <f>-685571296.79/1507.5</f>
        <v>-454773.6628789386</v>
      </c>
      <c r="M39" s="124">
        <f>-1314639976.18/1507.5</f>
        <v>-872066.3191907131</v>
      </c>
      <c r="N39" s="124">
        <f>-1425900591.33/1507.5</f>
        <v>-945871.0390248756</v>
      </c>
      <c r="O39" s="124">
        <f>-2161003821.6/1507.5</f>
        <v>-1433501.7058706468</v>
      </c>
      <c r="P39" s="124">
        <v>0</v>
      </c>
      <c r="Q39" s="125">
        <v>-18654196</v>
      </c>
    </row>
    <row r="40" spans="1:17" s="96" customFormat="1" ht="15.75">
      <c r="A40" s="15"/>
      <c r="B40" s="15"/>
      <c r="C40" s="242" t="s">
        <v>266</v>
      </c>
      <c r="D40" s="242"/>
      <c r="E40" s="124">
        <f>-42709911555.17/1507.5</f>
        <v>-28331616.28866998</v>
      </c>
      <c r="F40" s="124">
        <f>-2545695323/1507.5</f>
        <v>-1688686.7814262023</v>
      </c>
      <c r="G40" s="124">
        <f>-41242903581.8/1507.5</f>
        <v>-27358476.671177447</v>
      </c>
      <c r="H40" s="124">
        <f>-17374399993.48/1507.5</f>
        <v>-11525306.795011608</v>
      </c>
      <c r="I40" s="124">
        <f>-896242150.348046/1507.5</f>
        <v>-594522.1561181068</v>
      </c>
      <c r="J40" s="124">
        <f>-4957774701.6671/1507.5</f>
        <v>-3288739.437258441</v>
      </c>
      <c r="K40" s="124">
        <f>-45707366279.66/1507.5</f>
        <v>-30319977.63161526</v>
      </c>
      <c r="L40" s="124">
        <f>-8601175202.2/1507.5</f>
        <v>-5705588.857180763</v>
      </c>
      <c r="M40" s="124">
        <f>-3457320293.95/1507.5</f>
        <v>-2293413.130315091</v>
      </c>
      <c r="N40" s="124">
        <f>-6450885371.17/1507.5</f>
        <v>-4279194.276066335</v>
      </c>
      <c r="O40" s="124">
        <f>-17138952039.46/1507.5</f>
        <v>-11369122.41423549</v>
      </c>
      <c r="P40" s="124">
        <f>-505652554.02/1507.5</f>
        <v>-335424.5797810945</v>
      </c>
      <c r="Q40" s="125">
        <v>-127090069</v>
      </c>
    </row>
    <row r="41" spans="1:17" s="96" customFormat="1" ht="15.75">
      <c r="A41" s="15"/>
      <c r="B41" s="242" t="s">
        <v>108</v>
      </c>
      <c r="C41" s="242"/>
      <c r="D41" s="242"/>
      <c r="E41" s="124">
        <f>20055636540.82/1507.5</f>
        <v>13303904.836364843</v>
      </c>
      <c r="F41" s="124">
        <f>15075000/1507.5</f>
        <v>10000</v>
      </c>
      <c r="G41" s="124">
        <f>30809188368.19/1507.5</f>
        <v>20437272.549379766</v>
      </c>
      <c r="H41" s="124">
        <f>5632018084.82/1507.5</f>
        <v>3735998.7295655054</v>
      </c>
      <c r="I41" s="124">
        <f>564328487.205377/1507.5</f>
        <v>374347.25519427995</v>
      </c>
      <c r="J41" s="124">
        <f>1661117977.99462/1507.5</f>
        <v>1101902.4729649222</v>
      </c>
      <c r="K41" s="124">
        <f>38128482362.27/1507.5</f>
        <v>25292525.6134461</v>
      </c>
      <c r="L41" s="124">
        <f>5520065098.54/1507.5</f>
        <v>3661734.7253996683</v>
      </c>
      <c r="M41" s="124">
        <f>242679162.72/1507.5</f>
        <v>160981.2024676617</v>
      </c>
      <c r="N41" s="124">
        <f>1800383663.78/1507.5</f>
        <v>1194284.3540829187</v>
      </c>
      <c r="O41" s="124">
        <f>3988300964.95/1507.5</f>
        <v>2645639.114394693</v>
      </c>
      <c r="P41" s="124">
        <f>288407690.75/1507.5</f>
        <v>191315.21774461027</v>
      </c>
      <c r="Q41" s="125">
        <v>72109906</v>
      </c>
    </row>
    <row r="42" spans="1:17" s="96" customFormat="1" ht="27" customHeight="1">
      <c r="A42" s="15"/>
      <c r="B42" s="242" t="s">
        <v>265</v>
      </c>
      <c r="C42" s="242"/>
      <c r="D42" s="242"/>
      <c r="E42" s="124">
        <f>1013943926.525/1507.5</f>
        <v>672599.6195854063</v>
      </c>
      <c r="F42" s="124">
        <f>53469000/1507.5</f>
        <v>35468.65671641791</v>
      </c>
      <c r="G42" s="124">
        <f>-12408763061.9232/1507.5</f>
        <v>-8231351.948207761</v>
      </c>
      <c r="H42" s="124">
        <f>2331034410.85893/1507.5</f>
        <v>1546291.483156836</v>
      </c>
      <c r="I42" s="124">
        <f>417264478.422113/1507.5</f>
        <v>276792.357162264</v>
      </c>
      <c r="J42" s="124">
        <f>662410608.677887/1507.5</f>
        <v>439410.02234022354</v>
      </c>
      <c r="K42" s="124">
        <f>3535794278.57755/1507.5</f>
        <v>2345468.8415108128</v>
      </c>
      <c r="L42" s="124">
        <f>1705647481.90166/1507.5</f>
        <v>1131441.1156893268</v>
      </c>
      <c r="M42" s="124">
        <f>276774938.455861/1507.5</f>
        <v>183598.63247486632</v>
      </c>
      <c r="N42" s="124">
        <f>1070333159.05978/1507.5</f>
        <v>710005.4123116286</v>
      </c>
      <c r="O42" s="124">
        <f>-1198680082.87906/1507.5</f>
        <v>-795144.3335847828</v>
      </c>
      <c r="P42" s="124">
        <f>-1086571412.36585/1507.5</f>
        <v>-720777.0562957545</v>
      </c>
      <c r="Q42" s="125">
        <v>-2406197</v>
      </c>
    </row>
    <row r="43" spans="1:17" s="96" customFormat="1" ht="15.75">
      <c r="A43" s="15"/>
      <c r="B43" s="242" t="s">
        <v>264</v>
      </c>
      <c r="C43" s="242"/>
      <c r="D43" s="242"/>
      <c r="E43" s="124">
        <f>10141300563.25/1507.5</f>
        <v>6727230.887728026</v>
      </c>
      <c r="F43" s="124">
        <f>132263000/1507.5</f>
        <v>87736.65008291874</v>
      </c>
      <c r="G43" s="124">
        <f>10621566084.27/1507.5</f>
        <v>7045814.9812736325</v>
      </c>
      <c r="H43" s="124">
        <f>4172880424.58/1507.5</f>
        <v>2768079.8836351577</v>
      </c>
      <c r="I43" s="124">
        <f>132027532.42/1507.5</f>
        <v>87580.45268325042</v>
      </c>
      <c r="J43" s="124">
        <f>903771207/1507.5</f>
        <v>599516.5552238806</v>
      </c>
      <c r="K43" s="124">
        <f>5407060689.15/1507.5</f>
        <v>3586773.259800995</v>
      </c>
      <c r="L43" s="124">
        <f>2054300885.2/1507.5</f>
        <v>1362720.3218573797</v>
      </c>
      <c r="M43" s="124">
        <f>459997174.46/1507.5</f>
        <v>305139.08753565507</v>
      </c>
      <c r="N43" s="124">
        <f>1521544668.96/1507.5</f>
        <v>1009316.5299900498</v>
      </c>
      <c r="O43" s="124">
        <f>3108603831.63/1507.5</f>
        <v>2062092.0939502488</v>
      </c>
      <c r="P43" s="124">
        <f>295939929.46/1507.5</f>
        <v>196311.72766832504</v>
      </c>
      <c r="Q43" s="125">
        <v>25838212</v>
      </c>
    </row>
    <row r="44" spans="1:17" s="96" customFormat="1" ht="16.5" thickBot="1">
      <c r="A44" s="33"/>
      <c r="B44" s="262" t="s">
        <v>132</v>
      </c>
      <c r="C44" s="262"/>
      <c r="D44" s="262"/>
      <c r="E44" s="130">
        <f>909396786.131712/1507.5</f>
        <v>603248.2826744358</v>
      </c>
      <c r="F44" s="130">
        <f>24631891.8682875/1507.5</f>
        <v>16339.563428383084</v>
      </c>
      <c r="G44" s="130">
        <f>158528925/1507.5</f>
        <v>105160.14925373135</v>
      </c>
      <c r="H44" s="130">
        <f>129515893/1507.5</f>
        <v>85914.3568822554</v>
      </c>
      <c r="I44" s="130">
        <f>25177507.5437/1507.5</f>
        <v>16701.4975414262</v>
      </c>
      <c r="J44" s="130">
        <f>175475251.4563/1507.5</f>
        <v>116401.4935033499</v>
      </c>
      <c r="K44" s="130">
        <f>58149307/1507.5</f>
        <v>38573.33797678275</v>
      </c>
      <c r="L44" s="130">
        <v>20949844</v>
      </c>
      <c r="M44" s="130">
        <f>3389187/1507.5</f>
        <v>2248.2169154228854</v>
      </c>
      <c r="N44" s="130">
        <f>4069375/1507.5</f>
        <v>2699.419568822554</v>
      </c>
      <c r="O44" s="130">
        <f>353926125/1507.5</f>
        <v>234776.8656716418</v>
      </c>
      <c r="P44" s="130">
        <v>0</v>
      </c>
      <c r="Q44" s="131">
        <v>1235960</v>
      </c>
    </row>
    <row r="45" spans="1:17" s="96" customFormat="1" ht="16.5" thickBot="1">
      <c r="A45" s="245" t="s">
        <v>263</v>
      </c>
      <c r="B45" s="245"/>
      <c r="C45" s="245"/>
      <c r="D45" s="245"/>
      <c r="E45" s="120">
        <f>-52419588276.5684/1507.5</f>
        <v>-34772529.53669546</v>
      </c>
      <c r="F45" s="120">
        <f>-28060944194.6816/1507.5</f>
        <v>-18614225.004763912</v>
      </c>
      <c r="G45" s="120">
        <f>-27060511891.5087/1507.5</f>
        <v>-17950588.319408756</v>
      </c>
      <c r="H45" s="120">
        <f>-13856430118.5434/1507.5</f>
        <v>-9191661.770178042</v>
      </c>
      <c r="I45" s="120">
        <f>-28582622023.0605/1507.5</f>
        <v>-18960279.94896219</v>
      </c>
      <c r="J45" s="120">
        <f>-78845574536.4133/1507.5</f>
        <v>-52302205.3309541</v>
      </c>
      <c r="K45" s="120">
        <f>-72560168815.184/1507.5</f>
        <v>-48132781.96695457</v>
      </c>
      <c r="L45" s="120">
        <f>-28132994483.5876/1507.5</f>
        <v>-18662019.55793539</v>
      </c>
      <c r="M45" s="120">
        <f>-6160484604.1833/1507.5</f>
        <v>-4086556.951365373</v>
      </c>
      <c r="N45" s="120">
        <f>-3354621315.89894/1507.5</f>
        <v>-2225287.77174059</v>
      </c>
      <c r="O45" s="120">
        <f>-14428536432.82/1507.5</f>
        <v>-9571168.446315091</v>
      </c>
      <c r="P45" s="120">
        <f>-1463663843.90947/1507.5</f>
        <v>-970921.2894921858</v>
      </c>
      <c r="Q45" s="121">
        <v>-235440226</v>
      </c>
    </row>
    <row r="46" spans="1:17" s="96" customFormat="1" ht="15.75">
      <c r="A46" s="32"/>
      <c r="B46" s="261" t="s">
        <v>262</v>
      </c>
      <c r="C46" s="261"/>
      <c r="D46" s="261"/>
      <c r="E46" s="132">
        <f>-27577727745.4363/1507.5</f>
        <v>-18293683.41322474</v>
      </c>
      <c r="F46" s="132">
        <f>-19065665662/1507.5</f>
        <v>-12647207.735986734</v>
      </c>
      <c r="G46" s="132">
        <f>-12805838386.6917/1507.5</f>
        <v>-8494751.831967961</v>
      </c>
      <c r="H46" s="132">
        <f>-6548351083.44859/1507.5</f>
        <v>-4343848.148224603</v>
      </c>
      <c r="I46" s="132">
        <f>-14598879386.9677/1507.5</f>
        <v>-9684165.430824345</v>
      </c>
      <c r="J46" s="132">
        <f>-36156404797.3855/1507.5</f>
        <v>-23984348.124302156</v>
      </c>
      <c r="K46" s="132">
        <f>-26465425259.8853/1507.5</f>
        <v>-17555837.651665207</v>
      </c>
      <c r="L46" s="132">
        <f>-14748656025.2705/1507.5</f>
        <v>-9783519.751423217</v>
      </c>
      <c r="M46" s="132">
        <f>-2623572966.69498/1507.5</f>
        <v>-1740346.9099137513</v>
      </c>
      <c r="N46" s="132">
        <f>-1152459920.23445/1507.5</f>
        <v>-764484.1925269985</v>
      </c>
      <c r="O46" s="132">
        <f>-7222178267.82573/1507.5</f>
        <v>-4790831.355108279</v>
      </c>
      <c r="P46" s="132">
        <f>-232544828.380761/1507.5</f>
        <v>-154258.59262405374</v>
      </c>
      <c r="Q46" s="133">
        <v>-112237283</v>
      </c>
    </row>
    <row r="47" spans="1:17" s="96" customFormat="1" ht="15.75">
      <c r="A47" s="15"/>
      <c r="B47" s="242" t="s">
        <v>261</v>
      </c>
      <c r="C47" s="242"/>
      <c r="D47" s="242"/>
      <c r="E47" s="124">
        <f>-18749344212.927/1507.5</f>
        <v>-12437375.928973133</v>
      </c>
      <c r="F47" s="124">
        <f>-8291144964.0629/1507.5</f>
        <v>-5499930.324419834</v>
      </c>
      <c r="G47" s="124">
        <f>-9928498578.27737/1507.5</f>
        <v>-6586068.708641705</v>
      </c>
      <c r="H47" s="124">
        <f>-4864534752.79893/1507.5</f>
        <v>-3226888.7249080795</v>
      </c>
      <c r="I47" s="124">
        <f>-11405517838.9806/1507.5</f>
        <v>-7565849.312756618</v>
      </c>
      <c r="J47" s="124">
        <f>-31342952032.1263/1507.5</f>
        <v>-20791344.631592903</v>
      </c>
      <c r="K47" s="124">
        <f>-31465213522.441/1507.5</f>
        <v>-20872446.78105539</v>
      </c>
      <c r="L47" s="124">
        <f>-11769182106.5641/1507.5</f>
        <v>-7807085.974503549</v>
      </c>
      <c r="M47" s="124">
        <f>-2617856994.37152/1507.5</f>
        <v>-1736555.2201469452</v>
      </c>
      <c r="N47" s="124">
        <f>-1162201468.99571/1507.5</f>
        <v>-770946.2480900232</v>
      </c>
      <c r="O47" s="124">
        <f>-5800773523.28523/1507.5</f>
        <v>-3847942.6356784278</v>
      </c>
      <c r="P47" s="124">
        <f>-1134409619.16063/1507.5</f>
        <v>-752510.526806388</v>
      </c>
      <c r="Q47" s="125">
        <v>-91894945</v>
      </c>
    </row>
    <row r="48" spans="1:17" s="96" customFormat="1" ht="15.75">
      <c r="A48" s="15"/>
      <c r="B48" s="242" t="s">
        <v>260</v>
      </c>
      <c r="C48" s="242"/>
      <c r="D48" s="242"/>
      <c r="E48" s="124">
        <f>-2516019423.80416/1507.5</f>
        <v>-1669001.27615533</v>
      </c>
      <c r="F48" s="124">
        <f>-496784141.219206/1507.5</f>
        <v>-329541.71888504544</v>
      </c>
      <c r="G48" s="124">
        <f>-425909417.337754/1507.5</f>
        <v>-282526.97667512705</v>
      </c>
      <c r="H48" s="124">
        <f>-215986406.230282/1507.5</f>
        <v>-143274.564663537</v>
      </c>
      <c r="I48" s="124">
        <f>-353465196.01663/1507.5</f>
        <v>-234471.10846874295</v>
      </c>
      <c r="J48" s="124">
        <f>-981736509.857633/1507.5</f>
        <v>-651234.8324097068</v>
      </c>
      <c r="K48" s="124">
        <f>-1272934798.75723/1507.5</f>
        <v>-844401.1932054594</v>
      </c>
      <c r="L48" s="124">
        <f>-285622108.277719/1507.5</f>
        <v>-189467.40184259968</v>
      </c>
      <c r="M48" s="124">
        <f>-101226405.513327/1507.5</f>
        <v>-67148.52770369951</v>
      </c>
      <c r="N48" s="124">
        <f>-60338488.3708882/1507.5</f>
        <v>-40025.53125763728</v>
      </c>
      <c r="O48" s="124">
        <f>-266324582.58038/1507.5</f>
        <v>-176666.38977139635</v>
      </c>
      <c r="P48" s="124">
        <f>-75783323.4812772/1507.5</f>
        <v>-50270.861347447564</v>
      </c>
      <c r="Q48" s="125">
        <v>-4678030</v>
      </c>
    </row>
    <row r="49" spans="1:17" s="96" customFormat="1" ht="16.5" thickBot="1">
      <c r="A49" s="33"/>
      <c r="B49" s="262" t="s">
        <v>136</v>
      </c>
      <c r="C49" s="262"/>
      <c r="D49" s="262"/>
      <c r="E49" s="130">
        <f>-3576496894.40094/1507.5</f>
        <v>-2372468.9183422485</v>
      </c>
      <c r="F49" s="130">
        <f>-207349427.399519/1507.5</f>
        <v>-137545.22547231775</v>
      </c>
      <c r="G49" s="130">
        <f>-3900265509.2019/1507.5</f>
        <v>-2587240.80212398</v>
      </c>
      <c r="H49" s="130">
        <f>-2227557876.06558/1507.5</f>
        <v>-1477650.3323818108</v>
      </c>
      <c r="I49" s="130">
        <f>-2224759601.09551/1507.5</f>
        <v>-1475794.0969124443</v>
      </c>
      <c r="J49" s="130">
        <f>-10364481197.0439/1507.5</f>
        <v>-6875277.742649353</v>
      </c>
      <c r="K49" s="130">
        <f>-13356595234.1005/1507.5</f>
        <v>-8860096.341028525</v>
      </c>
      <c r="L49" s="130">
        <f>-1329534243.47536/1507.5</f>
        <v>-881946.4301660763</v>
      </c>
      <c r="M49" s="130">
        <f>-817828237.60346/1507.5</f>
        <v>-542506.2936009684</v>
      </c>
      <c r="N49" s="130">
        <f>-979621438.297896/1507.5</f>
        <v>-649831.7998659343</v>
      </c>
      <c r="O49" s="130">
        <f>-1139260059.12865/1507.5</f>
        <v>-755728.0657569817</v>
      </c>
      <c r="P49" s="130">
        <f>-20926072.8868029/1507.5</f>
        <v>-13881.308714297114</v>
      </c>
      <c r="Q49" s="131">
        <v>-26629967</v>
      </c>
    </row>
    <row r="50" spans="1:17" s="96" customFormat="1" ht="12.75" customHeight="1" thickBot="1">
      <c r="A50" s="245" t="s">
        <v>259</v>
      </c>
      <c r="B50" s="245"/>
      <c r="C50" s="245"/>
      <c r="D50" s="245"/>
      <c r="E50" s="120">
        <f>58113845526.6297/1507.5</f>
        <v>38549814.611362986</v>
      </c>
      <c r="F50" s="120">
        <f>13356396.2780507/1507.5</f>
        <v>8859.964363549387</v>
      </c>
      <c r="G50" s="120">
        <f>10187196837.2888/1507.5</f>
        <v>6757676.177306003</v>
      </c>
      <c r="H50" s="120">
        <f>6920172139.53681/1507.5</f>
        <v>4590495.614949791</v>
      </c>
      <c r="I50" s="120">
        <f>5866299143.84961/1507.5</f>
        <v>3891409.0506465076</v>
      </c>
      <c r="J50" s="120">
        <f>-22132608590.8687/1507.5</f>
        <v>-14681664.073544743</v>
      </c>
      <c r="K50" s="120">
        <f>5708370462.77791/1507.5</f>
        <v>3786647.0731528425</v>
      </c>
      <c r="L50" s="120">
        <f>7023734927.7176/1507.5</f>
        <v>4659193.981902222</v>
      </c>
      <c r="M50" s="120">
        <f>1568985092.89725/1507.5</f>
        <v>1040786.1312751244</v>
      </c>
      <c r="N50" s="120">
        <f>770519602.375322/1507.5</f>
        <v>511124.11434515554</v>
      </c>
      <c r="O50" s="120">
        <f>5682653091.76261/1507.5</f>
        <v>3769587.4572222955</v>
      </c>
      <c r="P50" s="120">
        <f>700877586.475351/1507.5</f>
        <v>464927.08887253795</v>
      </c>
      <c r="Q50" s="121">
        <v>53348857</v>
      </c>
    </row>
    <row r="51" spans="1:17" s="96" customFormat="1" ht="12.75" customHeight="1">
      <c r="A51" s="264" t="s">
        <v>258</v>
      </c>
      <c r="B51" s="264"/>
      <c r="C51" s="264"/>
      <c r="D51" s="264"/>
      <c r="E51" s="132">
        <f>723600900.364629/1507.5</f>
        <v>480000.597256802</v>
      </c>
      <c r="F51" s="132">
        <v>0</v>
      </c>
      <c r="G51" s="132">
        <f>510839912.290994/1507.5</f>
        <v>338865.6134600292</v>
      </c>
      <c r="H51" s="132">
        <f>187872991.481171/1507.5</f>
        <v>124625.53332084313</v>
      </c>
      <c r="I51" s="132">
        <f>1801014427.41586/1507.5</f>
        <v>1194702.7710884644</v>
      </c>
      <c r="J51" s="132">
        <f>2447298225.70108/1507.5</f>
        <v>1623415.0750919268</v>
      </c>
      <c r="K51" s="132">
        <f>317038781.143566/1507.5</f>
        <v>210307.64918312838</v>
      </c>
      <c r="L51" s="132">
        <f>308042398.430483/1507.5</f>
        <v>204339.89945637344</v>
      </c>
      <c r="M51" s="132">
        <f>249565421.930437/1507.5</f>
        <v>165549.20194390515</v>
      </c>
      <c r="N51" s="132">
        <f>40440824.1667847/1507.5</f>
        <v>26826.41735773446</v>
      </c>
      <c r="O51" s="132">
        <f>153795174.829988/1507.5</f>
        <v>102020.01647097048</v>
      </c>
      <c r="P51" s="132">
        <f>119225195.705076/1507.5</f>
        <v>79088.0236849592</v>
      </c>
      <c r="Q51" s="133">
        <v>4549741</v>
      </c>
    </row>
    <row r="52" spans="1:17" s="96" customFormat="1" ht="12.75" customHeight="1">
      <c r="A52" s="15"/>
      <c r="B52" s="242" t="s">
        <v>257</v>
      </c>
      <c r="C52" s="242"/>
      <c r="D52" s="242"/>
      <c r="E52" s="124">
        <f>806333878.982621/1507.5</f>
        <v>534881.5117629326</v>
      </c>
      <c r="F52" s="124">
        <v>0</v>
      </c>
      <c r="G52" s="124">
        <f>693778383.749746/1507.5</f>
        <v>460217.8333331648</v>
      </c>
      <c r="H52" s="124">
        <f>288126235.861424/1507.5</f>
        <v>191128.5146676113</v>
      </c>
      <c r="I52" s="124">
        <f>1901649430.65077/1507.5</f>
        <v>1261458.9921398142</v>
      </c>
      <c r="J52" s="124">
        <f>3073289967.82357/1507.5</f>
        <v>2038666.6453224344</v>
      </c>
      <c r="K52" s="124">
        <f>1334445387.62056/1507.5</f>
        <v>885204.2372275688</v>
      </c>
      <c r="L52" s="124">
        <f>413586183.618794/1507.5</f>
        <v>274352.3606094819</v>
      </c>
      <c r="M52" s="124">
        <f>318267187.415163/1507.5</f>
        <v>211122.51238153432</v>
      </c>
      <c r="N52" s="124">
        <f>83698005.0479032/1507.5</f>
        <v>55521.0647083935</v>
      </c>
      <c r="O52" s="124">
        <f>228353325.585658/1507.5</f>
        <v>151478.1595924763</v>
      </c>
      <c r="P52" s="124">
        <f>118343702.95386/1507.5</f>
        <v>78503.28554153234</v>
      </c>
      <c r="Q52" s="125">
        <v>6142535</v>
      </c>
    </row>
    <row r="53" spans="1:17" s="96" customFormat="1" ht="12.75" customHeight="1" thickBot="1">
      <c r="A53" s="33"/>
      <c r="B53" s="262" t="s">
        <v>256</v>
      </c>
      <c r="C53" s="262"/>
      <c r="D53" s="262"/>
      <c r="E53" s="130">
        <f>-82732978.6179915/1507.5</f>
        <v>-54880.91450613035</v>
      </c>
      <c r="F53" s="130">
        <v>0</v>
      </c>
      <c r="G53" s="130">
        <f>-182938471.458753/1507.5</f>
        <v>-121352.21987313632</v>
      </c>
      <c r="H53" s="130">
        <f>-100253244.380254/1507.5</f>
        <v>-66502.98134676882</v>
      </c>
      <c r="I53" s="130">
        <f>-100635003.234904/1507.5</f>
        <v>-66756.22105134594</v>
      </c>
      <c r="J53" s="130">
        <f>-625991742.122497/1507.5</f>
        <v>-415251.57023051206</v>
      </c>
      <c r="K53" s="130">
        <f>-1017406606.47699/1507.5</f>
        <v>-674896.5880444378</v>
      </c>
      <c r="L53" s="130">
        <f>-105543785.188311/1507.5</f>
        <v>-70012.46115310845</v>
      </c>
      <c r="M53" s="130">
        <f>-68701765.4847258/1507.5</f>
        <v>-45573.31043762906</v>
      </c>
      <c r="N53" s="130">
        <f>-43257180.8811186/1507.5</f>
        <v>-28694.647350659106</v>
      </c>
      <c r="O53" s="130">
        <f>-74558150.7556703/1507.5</f>
        <v>-49458.143121506</v>
      </c>
      <c r="P53" s="130">
        <f>881492.751215848/1507.5</f>
        <v>584.7381434267649</v>
      </c>
      <c r="Q53" s="131">
        <v>-1592794</v>
      </c>
    </row>
    <row r="54" spans="1:17" s="96" customFormat="1" ht="12.75" customHeight="1">
      <c r="A54" s="260" t="s">
        <v>121</v>
      </c>
      <c r="B54" s="260"/>
      <c r="C54" s="260"/>
      <c r="D54" s="260"/>
      <c r="E54" s="122">
        <f>4100527281.2865/1507.5</f>
        <v>2720084.432030846</v>
      </c>
      <c r="F54" s="122">
        <f>1894748971.7535/1507.5</f>
        <v>1256881.5733024876</v>
      </c>
      <c r="G54" s="122">
        <f>1472077768.10265/1507.5</f>
        <v>976502.6654080596</v>
      </c>
      <c r="H54" s="122">
        <f>590858990.986414/1507.5</f>
        <v>391946.26267755486</v>
      </c>
      <c r="I54" s="122">
        <f>601624747.567886/1507.5</f>
        <v>399087.72641319135</v>
      </c>
      <c r="J54" s="122">
        <f>2127879577.39833/1507.5</f>
        <v>1411528.7412260894</v>
      </c>
      <c r="K54" s="122">
        <f>3501495732.5886/1507.5</f>
        <v>2322716.9038730348</v>
      </c>
      <c r="L54" s="122">
        <f>755867713.396467/1507.5</f>
        <v>501404.7850059482</v>
      </c>
      <c r="M54" s="122">
        <f>207444989.377947/1507.5</f>
        <v>137608.61650278408</v>
      </c>
      <c r="N54" s="122">
        <f>149713223.17952/1507.5</f>
        <v>99312.25418210283</v>
      </c>
      <c r="O54" s="122">
        <f>660206364.855005/1507.5</f>
        <v>437947.8373830879</v>
      </c>
      <c r="P54" s="122">
        <f>34548739.4588666/1507.5</f>
        <v>22917.903455301228</v>
      </c>
      <c r="Q54" s="123">
        <v>10677940</v>
      </c>
    </row>
    <row r="55" spans="1:18" s="96" customFormat="1" ht="12.75" customHeight="1" thickBot="1">
      <c r="A55" s="259" t="s">
        <v>255</v>
      </c>
      <c r="B55" s="259"/>
      <c r="C55" s="259"/>
      <c r="D55" s="259"/>
      <c r="E55" s="126">
        <f>54736919145.7078/1507.5</f>
        <v>36309730.776588924</v>
      </c>
      <c r="F55" s="126">
        <f>-1881392575.47545/1507.5</f>
        <v>-1248021.6089389387</v>
      </c>
      <c r="G55" s="126">
        <f>9225958981.47718/1507.5</f>
        <v>6120039.125357997</v>
      </c>
      <c r="H55" s="126">
        <f>6517186140.03157/1507.5</f>
        <v>4323174.885593082</v>
      </c>
      <c r="I55" s="126">
        <f>7065688823.69759/1507.5</f>
        <v>4687024.095321785</v>
      </c>
      <c r="J55" s="126">
        <f>-21813189942.5659/1507.5</f>
        <v>-14469777.73967887</v>
      </c>
      <c r="K55" s="126">
        <f>2523913511.33288/1507.5</f>
        <v>1674237.8184629388</v>
      </c>
      <c r="L55" s="126">
        <f>6575909612.75162/1507.5</f>
        <v>4362129.09635265</v>
      </c>
      <c r="M55" s="126">
        <f>1611105525.44974/1507.5</f>
        <v>1068726.7167162453</v>
      </c>
      <c r="N55" s="126">
        <f>661247203.362586/1507.5</f>
        <v>438638.27752078674</v>
      </c>
      <c r="O55" s="126">
        <f>5176241901.7376/1507.5</f>
        <v>3433659.6363101825</v>
      </c>
      <c r="P55" s="126">
        <f>785554042.72156/1507.5</f>
        <v>521097.2091021957</v>
      </c>
      <c r="Q55" s="127">
        <v>47220658</v>
      </c>
      <c r="R55" s="97"/>
    </row>
    <row r="56" spans="1:18" s="96" customFormat="1" ht="12.75" customHeight="1">
      <c r="A56" s="117"/>
      <c r="B56" s="117"/>
      <c r="C56" s="117"/>
      <c r="D56" s="117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6"/>
      <c r="R56" s="97"/>
    </row>
    <row r="57" spans="1:18" s="96" customFormat="1" ht="12.75" customHeight="1">
      <c r="A57" s="117"/>
      <c r="B57" s="117"/>
      <c r="C57" s="117"/>
      <c r="D57" s="117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6"/>
      <c r="R57" s="97"/>
    </row>
    <row r="58" spans="1:18" s="96" customFormat="1" ht="12.75" customHeight="1">
      <c r="A58" s="117"/>
      <c r="B58" s="117"/>
      <c r="C58" s="117"/>
      <c r="D58" s="117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6"/>
      <c r="R58" s="97"/>
    </row>
    <row r="59" spans="1:18" s="96" customFormat="1" ht="12.75" customHeight="1">
      <c r="A59" s="117"/>
      <c r="B59" s="117"/>
      <c r="C59" s="117"/>
      <c r="D59" s="117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6"/>
      <c r="R59" s="97"/>
    </row>
    <row r="60" spans="1:18" s="96" customFormat="1" ht="12.75" customHeight="1">
      <c r="A60" s="117"/>
      <c r="B60" s="117"/>
      <c r="C60" s="117"/>
      <c r="D60" s="117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6"/>
      <c r="R60" s="97"/>
    </row>
    <row r="61" spans="1:18" s="96" customFormat="1" ht="12.75" customHeight="1">
      <c r="A61" s="117"/>
      <c r="B61" s="117"/>
      <c r="C61" s="117"/>
      <c r="D61" s="117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6"/>
      <c r="R61" s="97"/>
    </row>
    <row r="62" spans="1:18" s="96" customFormat="1" ht="12.75" customHeight="1">
      <c r="A62" s="117"/>
      <c r="B62" s="117"/>
      <c r="C62" s="117"/>
      <c r="D62" s="117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6"/>
      <c r="R62" s="97"/>
    </row>
    <row r="63" spans="1:18" s="96" customFormat="1" ht="12.75" customHeight="1">
      <c r="A63" s="117"/>
      <c r="B63" s="117"/>
      <c r="C63" s="117"/>
      <c r="D63" s="117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6"/>
      <c r="R63" s="97"/>
    </row>
    <row r="64" spans="1:18" s="96" customFormat="1" ht="12.75" customHeight="1">
      <c r="A64" s="117"/>
      <c r="B64" s="117"/>
      <c r="C64" s="117"/>
      <c r="D64" s="117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6"/>
      <c r="R64" s="97"/>
    </row>
    <row r="65" spans="1:18" s="96" customFormat="1" ht="12.75" customHeight="1">
      <c r="A65" s="117"/>
      <c r="B65" s="117"/>
      <c r="C65" s="117"/>
      <c r="D65" s="117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6"/>
      <c r="R65" s="97"/>
    </row>
    <row r="66" s="95" customFormat="1" ht="19.5" customHeight="1">
      <c r="A66" s="128" t="s">
        <v>393</v>
      </c>
    </row>
    <row r="67" s="95" customFormat="1" ht="12.75">
      <c r="A67" s="73" t="s">
        <v>140</v>
      </c>
    </row>
    <row r="68" ht="6.75" customHeight="1" thickBot="1"/>
    <row r="69" spans="5:17" ht="13.5" customHeight="1" thickBot="1">
      <c r="E69" s="235" t="s">
        <v>164</v>
      </c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</row>
    <row r="70" spans="1:17" s="24" customFormat="1" ht="13.5" customHeight="1" thickBot="1">
      <c r="A70" s="129"/>
      <c r="B70" s="110"/>
      <c r="E70" s="250" t="s">
        <v>124</v>
      </c>
      <c r="F70" s="250" t="s">
        <v>125</v>
      </c>
      <c r="G70" s="250" t="s">
        <v>126</v>
      </c>
      <c r="H70" s="251" t="s">
        <v>142</v>
      </c>
      <c r="I70" s="251"/>
      <c r="J70" s="251"/>
      <c r="K70" s="251"/>
      <c r="L70" s="251"/>
      <c r="M70" s="251"/>
      <c r="N70" s="251"/>
      <c r="O70" s="251"/>
      <c r="P70" s="250" t="s">
        <v>143</v>
      </c>
      <c r="Q70" s="250" t="s">
        <v>14</v>
      </c>
    </row>
    <row r="71" spans="1:17" s="24" customFormat="1" ht="18.75" thickBot="1">
      <c r="A71" s="129"/>
      <c r="B71" s="110"/>
      <c r="E71" s="250"/>
      <c r="F71" s="250"/>
      <c r="G71" s="250"/>
      <c r="H71" s="111" t="s">
        <v>391</v>
      </c>
      <c r="I71" s="112" t="s">
        <v>251</v>
      </c>
      <c r="J71" s="112" t="s">
        <v>252</v>
      </c>
      <c r="K71" s="111" t="s">
        <v>129</v>
      </c>
      <c r="L71" s="112" t="s">
        <v>130</v>
      </c>
      <c r="M71" s="111" t="s">
        <v>253</v>
      </c>
      <c r="N71" s="111" t="s">
        <v>254</v>
      </c>
      <c r="O71" s="112" t="s">
        <v>131</v>
      </c>
      <c r="P71" s="250"/>
      <c r="Q71" s="250"/>
    </row>
    <row r="72" ht="12.75" customHeight="1" thickBot="1"/>
    <row r="73" spans="1:17" ht="19.5" customHeight="1" thickBot="1">
      <c r="A73" s="239" t="s">
        <v>16</v>
      </c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</row>
    <row r="74" spans="1:17" ht="19.5" customHeight="1">
      <c r="A74" s="65"/>
      <c r="B74" s="255" t="s">
        <v>17</v>
      </c>
      <c r="C74" s="255"/>
      <c r="D74" s="255"/>
      <c r="E74" s="144">
        <v>102037484</v>
      </c>
      <c r="F74" s="145">
        <v>23211948</v>
      </c>
      <c r="G74" s="145">
        <v>47343888</v>
      </c>
      <c r="H74" s="145">
        <v>24512679</v>
      </c>
      <c r="I74" s="145">
        <v>34833573</v>
      </c>
      <c r="J74" s="145">
        <v>101170108</v>
      </c>
      <c r="K74" s="145">
        <v>184389351</v>
      </c>
      <c r="L74" s="145">
        <v>36932494</v>
      </c>
      <c r="M74" s="145">
        <v>9559053</v>
      </c>
      <c r="N74" s="144">
        <v>7218394</v>
      </c>
      <c r="O74" s="144">
        <v>25128749</v>
      </c>
      <c r="P74" s="144">
        <v>1554639</v>
      </c>
      <c r="Q74" s="146">
        <v>597892359</v>
      </c>
    </row>
    <row r="75" spans="1:17" ht="19.5" customHeight="1">
      <c r="A75" s="18"/>
      <c r="B75" s="253" t="s">
        <v>18</v>
      </c>
      <c r="C75" s="253"/>
      <c r="D75" s="253"/>
      <c r="E75" s="135">
        <v>-41330289</v>
      </c>
      <c r="F75" s="135">
        <v>-21680023</v>
      </c>
      <c r="G75" s="135">
        <v>-11317203</v>
      </c>
      <c r="H75" s="135">
        <v>-7787866</v>
      </c>
      <c r="I75" s="135">
        <v>-13867436</v>
      </c>
      <c r="J75" s="135">
        <v>-66227848</v>
      </c>
      <c r="K75" s="135">
        <v>-137534578</v>
      </c>
      <c r="L75" s="135">
        <v>-16784822</v>
      </c>
      <c r="M75" s="135">
        <v>-2381701</v>
      </c>
      <c r="N75" s="135">
        <v>-2503136</v>
      </c>
      <c r="O75" s="135">
        <v>-4224662</v>
      </c>
      <c r="P75" s="135">
        <v>395447</v>
      </c>
      <c r="Q75" s="136">
        <v>-325244117</v>
      </c>
    </row>
    <row r="76" spans="1:17" ht="19.5" customHeight="1">
      <c r="A76" s="18"/>
      <c r="B76" s="253" t="s">
        <v>19</v>
      </c>
      <c r="C76" s="253"/>
      <c r="D76" s="253"/>
      <c r="E76" s="135">
        <v>-18293683</v>
      </c>
      <c r="F76" s="135">
        <v>-12647208</v>
      </c>
      <c r="G76" s="135">
        <v>-8494752</v>
      </c>
      <c r="H76" s="135">
        <v>-4343848</v>
      </c>
      <c r="I76" s="135">
        <v>-9684165</v>
      </c>
      <c r="J76" s="135">
        <v>-23984348</v>
      </c>
      <c r="K76" s="135">
        <v>-17555838</v>
      </c>
      <c r="L76" s="135">
        <v>-9783520</v>
      </c>
      <c r="M76" s="135">
        <v>-1740347</v>
      </c>
      <c r="N76" s="135">
        <v>-764484</v>
      </c>
      <c r="O76" s="135">
        <v>-4790831</v>
      </c>
      <c r="P76" s="135">
        <v>-154259</v>
      </c>
      <c r="Q76" s="136">
        <v>-112237283</v>
      </c>
    </row>
    <row r="77" spans="1:17" ht="19.5" customHeight="1">
      <c r="A77" s="18"/>
      <c r="B77" s="253" t="s">
        <v>20</v>
      </c>
      <c r="C77" s="253"/>
      <c r="D77" s="253"/>
      <c r="E77" s="134">
        <v>-10036353</v>
      </c>
      <c r="F77" s="135">
        <v>-1539142</v>
      </c>
      <c r="G77" s="135">
        <v>-13574449</v>
      </c>
      <c r="H77" s="135">
        <v>-4413341</v>
      </c>
      <c r="I77" s="135">
        <v>-276904</v>
      </c>
      <c r="J77" s="135">
        <v>-3295908</v>
      </c>
      <c r="K77" s="135">
        <v>-1693510</v>
      </c>
      <c r="L77" s="135">
        <v>9431</v>
      </c>
      <c r="M77" s="135">
        <v>-2513512</v>
      </c>
      <c r="N77" s="135">
        <v>-2308760</v>
      </c>
      <c r="O77" s="135">
        <v>-8655260</v>
      </c>
      <c r="P77" s="135">
        <v>-668575</v>
      </c>
      <c r="Q77" s="136">
        <v>-48966284</v>
      </c>
    </row>
    <row r="78" spans="1:17" ht="19.5" customHeight="1">
      <c r="A78" s="18"/>
      <c r="B78" s="253" t="s">
        <v>21</v>
      </c>
      <c r="C78" s="253"/>
      <c r="D78" s="253"/>
      <c r="E78" s="134">
        <v>-16478846</v>
      </c>
      <c r="F78" s="135">
        <v>-5967017</v>
      </c>
      <c r="G78" s="135">
        <v>-9455836</v>
      </c>
      <c r="H78" s="135">
        <v>-4847814</v>
      </c>
      <c r="I78" s="135">
        <v>-9276115</v>
      </c>
      <c r="J78" s="135">
        <v>-28317857</v>
      </c>
      <c r="K78" s="135">
        <v>-30576944</v>
      </c>
      <c r="L78" s="135">
        <v>-8878500</v>
      </c>
      <c r="M78" s="135">
        <v>-2346210</v>
      </c>
      <c r="N78" s="135">
        <v>-1460804</v>
      </c>
      <c r="O78" s="135">
        <v>-4780337</v>
      </c>
      <c r="P78" s="135">
        <v>-816663</v>
      </c>
      <c r="Q78" s="136">
        <v>-123202943</v>
      </c>
    </row>
    <row r="79" spans="1:17" ht="19.5" customHeight="1" thickBot="1">
      <c r="A79" s="19"/>
      <c r="B79" s="263" t="s">
        <v>22</v>
      </c>
      <c r="C79" s="263"/>
      <c r="D79" s="263"/>
      <c r="E79" s="141">
        <v>23227327</v>
      </c>
      <c r="F79" s="142">
        <v>19199477</v>
      </c>
      <c r="G79" s="142">
        <v>2594894</v>
      </c>
      <c r="H79" s="142">
        <v>1595311</v>
      </c>
      <c r="I79" s="142">
        <v>3357159</v>
      </c>
      <c r="J79" s="142">
        <v>7957604</v>
      </c>
      <c r="K79" s="142">
        <v>6968473</v>
      </c>
      <c r="L79" s="142">
        <v>3368451</v>
      </c>
      <c r="M79" s="142">
        <v>629053</v>
      </c>
      <c r="N79" s="142">
        <v>356740</v>
      </c>
      <c r="O79" s="142">
        <v>1193950</v>
      </c>
      <c r="P79" s="142">
        <v>233425</v>
      </c>
      <c r="Q79" s="143">
        <v>70321865</v>
      </c>
    </row>
    <row r="80" spans="1:17" ht="19.5" customHeight="1" thickBot="1">
      <c r="A80" s="239" t="s">
        <v>23</v>
      </c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</row>
    <row r="81" spans="1:17" ht="27" customHeight="1">
      <c r="A81" s="65"/>
      <c r="B81" s="255" t="s">
        <v>24</v>
      </c>
      <c r="C81" s="255"/>
      <c r="D81" s="255"/>
      <c r="E81" s="147">
        <v>-0.41</v>
      </c>
      <c r="F81" s="147">
        <v>-0.93</v>
      </c>
      <c r="G81" s="147">
        <v>-0.24</v>
      </c>
      <c r="H81" s="147">
        <v>-0.32</v>
      </c>
      <c r="I81" s="147">
        <v>-0.4</v>
      </c>
      <c r="J81" s="147">
        <v>-0.65</v>
      </c>
      <c r="K81" s="147">
        <v>-0.75</v>
      </c>
      <c r="L81" s="147">
        <v>-0.45</v>
      </c>
      <c r="M81" s="147">
        <v>-0.25</v>
      </c>
      <c r="N81" s="147">
        <v>-0.35</v>
      </c>
      <c r="O81" s="147">
        <v>-0.17</v>
      </c>
      <c r="P81" s="147">
        <v>0.25</v>
      </c>
      <c r="Q81" s="148">
        <v>-0.54</v>
      </c>
    </row>
    <row r="82" spans="1:17" ht="27" customHeight="1">
      <c r="A82" s="18"/>
      <c r="B82" s="253" t="s">
        <v>25</v>
      </c>
      <c r="C82" s="253"/>
      <c r="D82" s="253"/>
      <c r="E82" s="137">
        <v>-0.18</v>
      </c>
      <c r="F82" s="137">
        <v>-0.54</v>
      </c>
      <c r="G82" s="137">
        <v>-0.18</v>
      </c>
      <c r="H82" s="137">
        <v>-0.18</v>
      </c>
      <c r="I82" s="137">
        <v>-0.28</v>
      </c>
      <c r="J82" s="137">
        <v>-0.24</v>
      </c>
      <c r="K82" s="137">
        <v>-0.1</v>
      </c>
      <c r="L82" s="137">
        <v>-0.26</v>
      </c>
      <c r="M82" s="137">
        <v>-0.18</v>
      </c>
      <c r="N82" s="137">
        <v>-0.11</v>
      </c>
      <c r="O82" s="137">
        <v>-0.19</v>
      </c>
      <c r="P82" s="137">
        <v>-0.1</v>
      </c>
      <c r="Q82" s="138">
        <v>-0.19</v>
      </c>
    </row>
    <row r="83" spans="1:17" ht="27" customHeight="1">
      <c r="A83" s="18"/>
      <c r="B83" s="253" t="s">
        <v>26</v>
      </c>
      <c r="C83" s="253"/>
      <c r="D83" s="253"/>
      <c r="E83" s="137">
        <v>-0.1</v>
      </c>
      <c r="F83" s="137">
        <v>-0.07</v>
      </c>
      <c r="G83" s="137">
        <v>-0.29</v>
      </c>
      <c r="H83" s="137">
        <v>-0.18</v>
      </c>
      <c r="I83" s="137">
        <v>-0.01</v>
      </c>
      <c r="J83" s="137">
        <v>-0.03</v>
      </c>
      <c r="K83" s="137">
        <v>-0.01</v>
      </c>
      <c r="L83" s="137">
        <v>0</v>
      </c>
      <c r="M83" s="137">
        <v>-0.26</v>
      </c>
      <c r="N83" s="137">
        <v>-0.32</v>
      </c>
      <c r="O83" s="137">
        <v>-0.34</v>
      </c>
      <c r="P83" s="137">
        <v>-0.43</v>
      </c>
      <c r="Q83" s="138">
        <v>-0.08</v>
      </c>
    </row>
    <row r="84" spans="1:17" ht="27" customHeight="1">
      <c r="A84" s="18"/>
      <c r="B84" s="253" t="s">
        <v>27</v>
      </c>
      <c r="C84" s="253"/>
      <c r="D84" s="253"/>
      <c r="E84" s="137">
        <v>-0.16</v>
      </c>
      <c r="F84" s="137">
        <v>-0.26</v>
      </c>
      <c r="G84" s="137">
        <v>-0.2</v>
      </c>
      <c r="H84" s="137">
        <v>-0.2</v>
      </c>
      <c r="I84" s="137">
        <v>-0.27</v>
      </c>
      <c r="J84" s="137">
        <v>-0.28</v>
      </c>
      <c r="K84" s="137">
        <v>-0.17</v>
      </c>
      <c r="L84" s="137">
        <v>-0.24</v>
      </c>
      <c r="M84" s="137">
        <v>-0.25</v>
      </c>
      <c r="N84" s="137">
        <v>-0.2</v>
      </c>
      <c r="O84" s="137">
        <v>-0.19</v>
      </c>
      <c r="P84" s="137">
        <v>-0.53</v>
      </c>
      <c r="Q84" s="138">
        <v>-0.21</v>
      </c>
    </row>
    <row r="85" spans="1:17" ht="27" customHeight="1">
      <c r="A85" s="18"/>
      <c r="B85" s="253" t="s">
        <v>28</v>
      </c>
      <c r="C85" s="253"/>
      <c r="D85" s="253"/>
      <c r="E85" s="137">
        <v>-0.5</v>
      </c>
      <c r="F85" s="137">
        <v>-1</v>
      </c>
      <c r="G85" s="137">
        <v>-0.53</v>
      </c>
      <c r="H85" s="137">
        <v>-0.5</v>
      </c>
      <c r="I85" s="137">
        <v>-0.41</v>
      </c>
      <c r="J85" s="137">
        <v>-0.69</v>
      </c>
      <c r="K85" s="137">
        <v>-0.76</v>
      </c>
      <c r="L85" s="137">
        <v>-0.45</v>
      </c>
      <c r="M85" s="137">
        <v>-0.51</v>
      </c>
      <c r="N85" s="137">
        <v>-0.67</v>
      </c>
      <c r="O85" s="137">
        <v>-0.51</v>
      </c>
      <c r="P85" s="137">
        <v>-0.18</v>
      </c>
      <c r="Q85" s="138">
        <v>-0.63</v>
      </c>
    </row>
    <row r="86" spans="1:17" ht="40.5" customHeight="1">
      <c r="A86" s="18"/>
      <c r="B86" s="253" t="s">
        <v>29</v>
      </c>
      <c r="C86" s="253"/>
      <c r="D86" s="253"/>
      <c r="E86" s="137">
        <v>-0.84</v>
      </c>
      <c r="F86" s="137">
        <v>-1.8</v>
      </c>
      <c r="G86" s="137">
        <v>-0.9</v>
      </c>
      <c r="H86" s="137">
        <v>-0.87</v>
      </c>
      <c r="I86" s="137">
        <v>-0.95</v>
      </c>
      <c r="J86" s="137">
        <v>-1.2</v>
      </c>
      <c r="K86" s="137">
        <v>-1.02</v>
      </c>
      <c r="L86" s="137">
        <v>-0.96</v>
      </c>
      <c r="M86" s="137">
        <v>-0.94</v>
      </c>
      <c r="N86" s="137">
        <v>-0.97</v>
      </c>
      <c r="O86" s="137">
        <v>-0.89</v>
      </c>
      <c r="P86" s="137">
        <v>-0.8</v>
      </c>
      <c r="Q86" s="138">
        <v>-1.02</v>
      </c>
    </row>
    <row r="87" spans="1:17" ht="27" customHeight="1" thickBot="1">
      <c r="A87" s="93"/>
      <c r="B87" s="254" t="s">
        <v>30</v>
      </c>
      <c r="C87" s="254"/>
      <c r="D87" s="254"/>
      <c r="E87" s="139">
        <v>0.23</v>
      </c>
      <c r="F87" s="139">
        <v>0.83</v>
      </c>
      <c r="G87" s="139">
        <v>0.05</v>
      </c>
      <c r="H87" s="139">
        <v>0.07</v>
      </c>
      <c r="I87" s="139">
        <v>0.1</v>
      </c>
      <c r="J87" s="139">
        <v>0.08</v>
      </c>
      <c r="K87" s="139">
        <v>0.04</v>
      </c>
      <c r="L87" s="139">
        <v>0.09</v>
      </c>
      <c r="M87" s="139">
        <v>0.07</v>
      </c>
      <c r="N87" s="139">
        <v>0.05</v>
      </c>
      <c r="O87" s="139">
        <v>0.05</v>
      </c>
      <c r="P87" s="139">
        <v>0.15</v>
      </c>
      <c r="Q87" s="140">
        <v>0.12</v>
      </c>
    </row>
    <row r="89" spans="6:8" ht="12.75">
      <c r="F89" s="49"/>
      <c r="H89" s="49"/>
    </row>
    <row r="90" spans="6:8" ht="12.75">
      <c r="F90" s="49"/>
      <c r="H90" s="49"/>
    </row>
    <row r="91" spans="6:8" ht="12.75">
      <c r="F91" s="49"/>
      <c r="H91" s="49"/>
    </row>
    <row r="92" spans="6:8" ht="12.75">
      <c r="F92" s="49"/>
      <c r="H92" s="49"/>
    </row>
    <row r="93" spans="6:8" ht="12.75">
      <c r="F93" s="49"/>
      <c r="H93" s="49"/>
    </row>
    <row r="94" spans="6:8" ht="12.75">
      <c r="F94" s="49"/>
      <c r="H94" s="49"/>
    </row>
    <row r="95" spans="6:8" ht="12.75">
      <c r="F95" s="49"/>
      <c r="H95" s="49"/>
    </row>
    <row r="96" spans="6:8" ht="12.75">
      <c r="F96" s="49"/>
      <c r="H96" s="49"/>
    </row>
  </sheetData>
  <sheetProtection/>
  <mergeCells count="78">
    <mergeCell ref="B78:D78"/>
    <mergeCell ref="E69:Q69"/>
    <mergeCell ref="B44:D44"/>
    <mergeCell ref="B43:D43"/>
    <mergeCell ref="B79:D79"/>
    <mergeCell ref="A73:Q73"/>
    <mergeCell ref="A51:D51"/>
    <mergeCell ref="B52:D52"/>
    <mergeCell ref="B53:D53"/>
    <mergeCell ref="A55:D55"/>
    <mergeCell ref="B76:D76"/>
    <mergeCell ref="B77:D77"/>
    <mergeCell ref="A36:D36"/>
    <mergeCell ref="A54:D54"/>
    <mergeCell ref="B46:D46"/>
    <mergeCell ref="A45:D45"/>
    <mergeCell ref="B47:D47"/>
    <mergeCell ref="B38:D38"/>
    <mergeCell ref="B41:D41"/>
    <mergeCell ref="B49:D49"/>
    <mergeCell ref="C39:D39"/>
    <mergeCell ref="A50:D50"/>
    <mergeCell ref="B48:D48"/>
    <mergeCell ref="B23:D23"/>
    <mergeCell ref="B24:D24"/>
    <mergeCell ref="B25:D25"/>
    <mergeCell ref="A26:D26"/>
    <mergeCell ref="C40:D40"/>
    <mergeCell ref="E5:E6"/>
    <mergeCell ref="F5:F6"/>
    <mergeCell ref="H5:O5"/>
    <mergeCell ref="B42:D42"/>
    <mergeCell ref="A7:D7"/>
    <mergeCell ref="B8:D8"/>
    <mergeCell ref="B17:D17"/>
    <mergeCell ref="B27:D27"/>
    <mergeCell ref="B28:D28"/>
    <mergeCell ref="A37:D37"/>
    <mergeCell ref="B19:D19"/>
    <mergeCell ref="A20:D20"/>
    <mergeCell ref="A21:D21"/>
    <mergeCell ref="E4:Q4"/>
    <mergeCell ref="Q5:Q6"/>
    <mergeCell ref="A15:D15"/>
    <mergeCell ref="B16:D16"/>
    <mergeCell ref="C9:D9"/>
    <mergeCell ref="G5:G6"/>
    <mergeCell ref="P5:P6"/>
    <mergeCell ref="B81:D81"/>
    <mergeCell ref="B82:D82"/>
    <mergeCell ref="B83:D83"/>
    <mergeCell ref="B84:D84"/>
    <mergeCell ref="B85:D85"/>
    <mergeCell ref="C10:D10"/>
    <mergeCell ref="C11:D11"/>
    <mergeCell ref="B74:D74"/>
    <mergeCell ref="B75:D75"/>
    <mergeCell ref="B18:D18"/>
    <mergeCell ref="P34:P35"/>
    <mergeCell ref="Q34:Q35"/>
    <mergeCell ref="E70:E71"/>
    <mergeCell ref="B86:D86"/>
    <mergeCell ref="B87:D87"/>
    <mergeCell ref="B12:D12"/>
    <mergeCell ref="B13:D13"/>
    <mergeCell ref="B14:D14"/>
    <mergeCell ref="B22:D22"/>
    <mergeCell ref="A80:Q80"/>
    <mergeCell ref="F70:F71"/>
    <mergeCell ref="G70:G71"/>
    <mergeCell ref="H70:O70"/>
    <mergeCell ref="P70:P71"/>
    <mergeCell ref="Q70:Q71"/>
    <mergeCell ref="E33:Q33"/>
    <mergeCell ref="E34:E35"/>
    <mergeCell ref="F34:F35"/>
    <mergeCell ref="G34:G35"/>
    <mergeCell ref="H34:O34"/>
  </mergeCells>
  <printOptions horizontalCentered="1"/>
  <pageMargins left="0" right="0" top="0.5" bottom="0.5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6" customWidth="1"/>
    <col min="2" max="2" width="18.00390625" style="6" bestFit="1" customWidth="1"/>
    <col min="3" max="3" width="24.7109375" style="6" bestFit="1" customWidth="1"/>
    <col min="4" max="4" width="17.57421875" style="6" bestFit="1" customWidth="1"/>
    <col min="5" max="5" width="20.28125" style="6" bestFit="1" customWidth="1"/>
    <col min="6" max="6" width="24.140625" style="6" bestFit="1" customWidth="1"/>
    <col min="7" max="16384" width="9.140625" style="6" customWidth="1"/>
  </cols>
  <sheetData>
    <row r="1" ht="19.5" customHeight="1">
      <c r="A1" s="1" t="s">
        <v>292</v>
      </c>
    </row>
    <row r="2" ht="12.75">
      <c r="A2" s="6" t="s">
        <v>140</v>
      </c>
    </row>
    <row r="3" ht="6.75" customHeight="1" thickBot="1"/>
    <row r="4" spans="1:5" ht="13.5" customHeight="1" thickBot="1">
      <c r="A4" s="8" t="s">
        <v>293</v>
      </c>
      <c r="B4" s="8" t="s">
        <v>295</v>
      </c>
      <c r="C4" s="8" t="s">
        <v>296</v>
      </c>
      <c r="D4" s="8" t="s">
        <v>297</v>
      </c>
      <c r="E4" s="8" t="s">
        <v>298</v>
      </c>
    </row>
    <row r="5" spans="1:5" ht="19.5" customHeight="1">
      <c r="A5" s="23" t="s">
        <v>294</v>
      </c>
      <c r="B5" s="153">
        <v>6</v>
      </c>
      <c r="C5" s="154">
        <v>187219507</v>
      </c>
      <c r="D5" s="154">
        <v>374905746</v>
      </c>
      <c r="E5" s="155">
        <v>0.5</v>
      </c>
    </row>
    <row r="6" spans="1:5" ht="19.5" customHeight="1">
      <c r="A6" s="21" t="s">
        <v>299</v>
      </c>
      <c r="B6" s="149">
        <v>8</v>
      </c>
      <c r="C6" s="38">
        <v>120104631</v>
      </c>
      <c r="D6" s="38">
        <v>127258702</v>
      </c>
      <c r="E6" s="150">
        <v>0.94</v>
      </c>
    </row>
    <row r="7" spans="1:5" ht="19.5" customHeight="1">
      <c r="A7" s="21" t="s">
        <v>300</v>
      </c>
      <c r="B7" s="149">
        <v>11</v>
      </c>
      <c r="C7" s="38">
        <v>77894728</v>
      </c>
      <c r="D7" s="38">
        <v>173762263</v>
      </c>
      <c r="E7" s="150">
        <v>0.45</v>
      </c>
    </row>
    <row r="8" spans="1:5" ht="19.5" customHeight="1">
      <c r="A8" s="21" t="s">
        <v>301</v>
      </c>
      <c r="B8" s="149">
        <v>21</v>
      </c>
      <c r="C8" s="38">
        <v>63919375</v>
      </c>
      <c r="D8" s="38">
        <v>82648213</v>
      </c>
      <c r="E8" s="150">
        <v>0.77</v>
      </c>
    </row>
    <row r="9" spans="1:5" ht="19.5" customHeight="1" thickBot="1">
      <c r="A9" s="22" t="s">
        <v>302</v>
      </c>
      <c r="B9" s="151">
        <v>8</v>
      </c>
      <c r="C9" s="39">
        <v>-396395</v>
      </c>
      <c r="D9" s="39">
        <v>17679799</v>
      </c>
      <c r="E9" s="152">
        <v>-0.02</v>
      </c>
    </row>
    <row r="10" spans="1:5" ht="19.5" customHeight="1" thickBot="1">
      <c r="A10" s="7" t="s">
        <v>14</v>
      </c>
      <c r="B10" s="156">
        <f>SUM(B5:B9)</f>
        <v>54</v>
      </c>
      <c r="C10" s="28">
        <f>SUM(C5:C9)</f>
        <v>448741846</v>
      </c>
      <c r="D10" s="28">
        <f>SUM(D5:D9)</f>
        <v>776254723</v>
      </c>
      <c r="E10" s="157">
        <v>0.58</v>
      </c>
    </row>
    <row r="12" ht="19.5" customHeight="1">
      <c r="A12" s="1" t="s">
        <v>303</v>
      </c>
    </row>
    <row r="13" ht="12.75">
      <c r="A13" s="6" t="s">
        <v>140</v>
      </c>
    </row>
    <row r="14" ht="6.75" customHeight="1" thickBot="1"/>
    <row r="15" spans="1:6" ht="13.5" customHeight="1" thickBot="1">
      <c r="A15" s="8" t="s">
        <v>304</v>
      </c>
      <c r="B15" s="8" t="s">
        <v>394</v>
      </c>
      <c r="C15" s="8" t="s">
        <v>305</v>
      </c>
      <c r="D15" s="8" t="s">
        <v>395</v>
      </c>
      <c r="E15" s="8" t="s">
        <v>396</v>
      </c>
      <c r="F15" s="8" t="s">
        <v>306</v>
      </c>
    </row>
    <row r="16" spans="1:6" ht="19.5" customHeight="1">
      <c r="A16" s="32" t="s">
        <v>307</v>
      </c>
      <c r="B16" s="26">
        <v>443932740</v>
      </c>
      <c r="C16" s="26">
        <v>40619967</v>
      </c>
      <c r="D16" s="26">
        <v>1335</v>
      </c>
      <c r="E16" s="26">
        <v>332534</v>
      </c>
      <c r="F16" s="26">
        <v>30427</v>
      </c>
    </row>
    <row r="17" spans="1:6" ht="19.5" customHeight="1">
      <c r="A17" s="15" t="s">
        <v>308</v>
      </c>
      <c r="B17" s="25">
        <v>165506442</v>
      </c>
      <c r="C17" s="25">
        <v>23259147</v>
      </c>
      <c r="D17" s="25">
        <v>595</v>
      </c>
      <c r="E17" s="25">
        <v>278162</v>
      </c>
      <c r="F17" s="25">
        <v>39091</v>
      </c>
    </row>
    <row r="18" spans="1:6" ht="19.5" customHeight="1">
      <c r="A18" s="15" t="s">
        <v>309</v>
      </c>
      <c r="B18" s="25">
        <v>67887153</v>
      </c>
      <c r="C18" s="25">
        <v>10120149</v>
      </c>
      <c r="D18" s="25">
        <v>337</v>
      </c>
      <c r="E18" s="25">
        <v>201276</v>
      </c>
      <c r="F18" s="25">
        <v>30005</v>
      </c>
    </row>
    <row r="19" spans="1:6" ht="19.5" customHeight="1">
      <c r="A19" s="15" t="s">
        <v>310</v>
      </c>
      <c r="B19" s="25">
        <v>76569489</v>
      </c>
      <c r="C19" s="25">
        <v>7471055</v>
      </c>
      <c r="D19" s="25">
        <v>191</v>
      </c>
      <c r="E19" s="25">
        <v>400887</v>
      </c>
      <c r="F19" s="25">
        <v>39115</v>
      </c>
    </row>
    <row r="20" spans="1:6" ht="19.5" customHeight="1" thickBot="1">
      <c r="A20" s="33" t="s">
        <v>311</v>
      </c>
      <c r="B20" s="27">
        <v>22358899</v>
      </c>
      <c r="C20" s="27">
        <v>10424628</v>
      </c>
      <c r="D20" s="27">
        <v>102</v>
      </c>
      <c r="E20" s="27">
        <v>219205</v>
      </c>
      <c r="F20" s="27">
        <v>42232</v>
      </c>
    </row>
    <row r="21" spans="1:6" ht="19.5" customHeight="1" thickBot="1">
      <c r="A21" s="7" t="s">
        <v>14</v>
      </c>
      <c r="B21" s="29">
        <f>SUM(B16:B20)</f>
        <v>776254723</v>
      </c>
      <c r="C21" s="29">
        <f>SUM(C16:C20)</f>
        <v>91894946</v>
      </c>
      <c r="D21" s="29">
        <f>SUM(D16:D20)</f>
        <v>2560</v>
      </c>
      <c r="E21" s="29">
        <v>303225</v>
      </c>
      <c r="F21" s="29">
        <v>33497</v>
      </c>
    </row>
    <row r="35" ht="19.5" customHeight="1">
      <c r="A35" s="1" t="s">
        <v>312</v>
      </c>
    </row>
    <row r="36" ht="12.75">
      <c r="A36" s="6" t="s">
        <v>140</v>
      </c>
    </row>
    <row r="37" ht="6.75" customHeight="1" thickBot="1"/>
    <row r="38" spans="1:2" ht="13.5" customHeight="1" thickBot="1">
      <c r="A38" s="8" t="s">
        <v>313</v>
      </c>
      <c r="B38" s="8">
        <v>2007</v>
      </c>
    </row>
    <row r="39" spans="1:2" ht="19.5" customHeight="1">
      <c r="A39" s="32" t="s">
        <v>72</v>
      </c>
      <c r="B39" s="26">
        <v>776255000</v>
      </c>
    </row>
    <row r="40" spans="1:2" ht="19.5" customHeight="1">
      <c r="A40" s="15" t="s">
        <v>73</v>
      </c>
      <c r="B40" s="25">
        <v>448742000</v>
      </c>
    </row>
    <row r="41" spans="1:2" ht="19.5" customHeight="1">
      <c r="A41" s="15" t="s">
        <v>74</v>
      </c>
      <c r="B41" s="158">
        <v>2.5</v>
      </c>
    </row>
    <row r="42" spans="1:2" ht="19.5" customHeight="1">
      <c r="A42" s="15" t="s">
        <v>75</v>
      </c>
      <c r="B42" s="158">
        <v>10.5</v>
      </c>
    </row>
    <row r="43" spans="1:2" ht="19.5" customHeight="1">
      <c r="A43" s="15" t="s">
        <v>76</v>
      </c>
      <c r="B43" s="158">
        <v>57.7</v>
      </c>
    </row>
    <row r="44" spans="1:2" ht="19.5" customHeight="1">
      <c r="A44" s="15" t="s">
        <v>77</v>
      </c>
      <c r="B44" s="158">
        <v>257</v>
      </c>
    </row>
    <row r="45" spans="1:2" ht="19.5" customHeight="1">
      <c r="A45" s="15" t="s">
        <v>78</v>
      </c>
      <c r="B45" s="158">
        <v>26.8</v>
      </c>
    </row>
    <row r="46" spans="1:2" ht="19.5" customHeight="1">
      <c r="A46" s="15" t="s">
        <v>79</v>
      </c>
      <c r="B46" s="158">
        <v>6.3</v>
      </c>
    </row>
    <row r="47" spans="1:2" ht="19.5" customHeight="1">
      <c r="A47" s="15" t="s">
        <v>83</v>
      </c>
      <c r="B47" s="25">
        <v>14375000</v>
      </c>
    </row>
    <row r="48" spans="1:2" ht="19.5" customHeight="1">
      <c r="A48" s="15" t="s">
        <v>84</v>
      </c>
      <c r="B48" s="25">
        <v>5928000</v>
      </c>
    </row>
    <row r="49" spans="1:2" ht="19.5" customHeight="1">
      <c r="A49" s="15" t="s">
        <v>85</v>
      </c>
      <c r="B49" s="25">
        <v>7798000</v>
      </c>
    </row>
    <row r="50" spans="1:2" ht="19.5" customHeight="1">
      <c r="A50" s="15" t="s">
        <v>86</v>
      </c>
      <c r="B50" s="25">
        <v>1709000</v>
      </c>
    </row>
    <row r="51" spans="1:2" ht="30" customHeight="1">
      <c r="A51" s="15" t="s">
        <v>87</v>
      </c>
      <c r="B51" s="25">
        <v>10271000</v>
      </c>
    </row>
    <row r="52" spans="1:2" ht="19.5" customHeight="1">
      <c r="A52" s="15" t="s">
        <v>88</v>
      </c>
      <c r="B52" s="25">
        <v>5312000</v>
      </c>
    </row>
    <row r="53" spans="1:2" ht="19.5" customHeight="1">
      <c r="A53" s="15" t="s">
        <v>80</v>
      </c>
      <c r="B53" s="25">
        <v>35214462</v>
      </c>
    </row>
    <row r="54" spans="1:2" ht="19.5" customHeight="1">
      <c r="A54" s="15" t="s">
        <v>81</v>
      </c>
      <c r="B54" s="25">
        <v>21359000</v>
      </c>
    </row>
    <row r="55" spans="1:2" ht="19.5" customHeight="1" thickBot="1">
      <c r="A55" s="16" t="s">
        <v>82</v>
      </c>
      <c r="B55" s="31">
        <v>8310000</v>
      </c>
    </row>
    <row r="66" ht="19.5" customHeight="1">
      <c r="A66" s="1" t="s">
        <v>314</v>
      </c>
    </row>
    <row r="67" ht="12.75">
      <c r="A67" s="6" t="s">
        <v>140</v>
      </c>
    </row>
    <row r="68" ht="6.75" customHeight="1" thickBot="1"/>
    <row r="69" spans="1:4" ht="13.5" customHeight="1" thickBot="1">
      <c r="A69" s="7" t="s">
        <v>135</v>
      </c>
      <c r="B69" s="7">
        <v>2001</v>
      </c>
      <c r="C69" s="7">
        <v>2007</v>
      </c>
      <c r="D69" s="8" t="s">
        <v>315</v>
      </c>
    </row>
    <row r="70" spans="1:4" ht="19.5" customHeight="1">
      <c r="A70" s="32" t="s">
        <v>89</v>
      </c>
      <c r="B70" s="153">
        <v>61</v>
      </c>
      <c r="C70" s="153">
        <v>54</v>
      </c>
      <c r="D70" s="162">
        <f>(C70-B70)*100/B70</f>
        <v>-11.475409836065573</v>
      </c>
    </row>
    <row r="71" spans="1:4" ht="19.5" customHeight="1">
      <c r="A71" s="15" t="s">
        <v>91</v>
      </c>
      <c r="B71" s="38">
        <v>409420000</v>
      </c>
      <c r="C71" s="38">
        <v>776255000</v>
      </c>
      <c r="D71" s="159">
        <f aca="true" t="shared" si="0" ref="D71:D78">(C71-B71)*100/B71</f>
        <v>89.59870060084998</v>
      </c>
    </row>
    <row r="72" spans="1:4" ht="19.5" customHeight="1">
      <c r="A72" s="15" t="s">
        <v>92</v>
      </c>
      <c r="B72" s="38">
        <v>6712000</v>
      </c>
      <c r="C72" s="38">
        <v>14375000</v>
      </c>
      <c r="D72" s="159">
        <f t="shared" si="0"/>
        <v>114.16865315852205</v>
      </c>
    </row>
    <row r="73" spans="1:4" ht="19.5" customHeight="1">
      <c r="A73" s="15" t="s">
        <v>93</v>
      </c>
      <c r="B73" s="38">
        <v>226265000</v>
      </c>
      <c r="C73" s="38">
        <v>320136000</v>
      </c>
      <c r="D73" s="159">
        <f t="shared" si="0"/>
        <v>41.48719421916779</v>
      </c>
    </row>
    <row r="74" spans="1:4" ht="19.5" customHeight="1">
      <c r="A74" s="15" t="s">
        <v>94</v>
      </c>
      <c r="B74" s="38">
        <v>3709000</v>
      </c>
      <c r="C74" s="38">
        <v>5928000</v>
      </c>
      <c r="D74" s="159">
        <f t="shared" si="0"/>
        <v>59.827446751145864</v>
      </c>
    </row>
    <row r="75" spans="1:4" ht="19.5" customHeight="1">
      <c r="A75" s="15" t="s">
        <v>95</v>
      </c>
      <c r="B75" s="38">
        <v>795534000</v>
      </c>
      <c r="C75" s="38">
        <v>1901581000</v>
      </c>
      <c r="D75" s="159">
        <f t="shared" si="0"/>
        <v>139.03202125867656</v>
      </c>
    </row>
    <row r="76" spans="1:4" ht="19.5" customHeight="1">
      <c r="A76" s="15" t="s">
        <v>97</v>
      </c>
      <c r="B76" s="38">
        <v>13042000</v>
      </c>
      <c r="C76" s="38">
        <v>35214000</v>
      </c>
      <c r="D76" s="159">
        <f t="shared" si="0"/>
        <v>170.00460052139243</v>
      </c>
    </row>
    <row r="77" spans="1:4" ht="19.5" customHeight="1">
      <c r="A77" s="15" t="s">
        <v>96</v>
      </c>
      <c r="B77" s="38">
        <v>309014000</v>
      </c>
      <c r="C77" s="38">
        <v>1153369000</v>
      </c>
      <c r="D77" s="159">
        <f t="shared" si="0"/>
        <v>273.24166542616194</v>
      </c>
    </row>
    <row r="78" spans="1:4" ht="19.5" customHeight="1" thickBot="1">
      <c r="A78" s="16" t="s">
        <v>98</v>
      </c>
      <c r="B78" s="160">
        <v>5066000</v>
      </c>
      <c r="C78" s="160">
        <v>21359000</v>
      </c>
      <c r="D78" s="161">
        <f t="shared" si="0"/>
        <v>321.6146861429135</v>
      </c>
    </row>
  </sheetData>
  <sheetProtection/>
  <printOptions horizontalCentered="1"/>
  <pageMargins left="0" right="0" top="0.5" bottom="0.5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20.7109375" style="6" customWidth="1"/>
    <col min="6" max="16384" width="9.140625" style="6" customWidth="1"/>
  </cols>
  <sheetData>
    <row r="1" ht="19.5" customHeight="1">
      <c r="A1" s="1" t="s">
        <v>133</v>
      </c>
    </row>
    <row r="2" ht="12.75">
      <c r="A2" s="6" t="s">
        <v>140</v>
      </c>
    </row>
    <row r="3" ht="6.75" customHeight="1" thickBot="1"/>
    <row r="4" spans="1:5" ht="13.5" customHeight="1">
      <c r="A4" s="265" t="s">
        <v>99</v>
      </c>
      <c r="B4" s="265"/>
      <c r="C4" s="236" t="s">
        <v>101</v>
      </c>
      <c r="D4" s="236" t="s">
        <v>102</v>
      </c>
      <c r="E4" s="236" t="s">
        <v>14</v>
      </c>
    </row>
    <row r="5" spans="1:5" ht="13.5" customHeight="1" thickBot="1">
      <c r="A5" s="266" t="s">
        <v>100</v>
      </c>
      <c r="B5" s="266"/>
      <c r="C5" s="238"/>
      <c r="D5" s="238"/>
      <c r="E5" s="238"/>
    </row>
    <row r="6" spans="1:5" ht="19.5" customHeight="1">
      <c r="A6" s="17" t="s">
        <v>103</v>
      </c>
      <c r="B6" s="75"/>
      <c r="C6" s="36">
        <v>272925317</v>
      </c>
      <c r="D6" s="36">
        <v>503329406</v>
      </c>
      <c r="E6" s="36">
        <f>SUM(C6:D6)</f>
        <v>776254723</v>
      </c>
    </row>
    <row r="7" spans="1:5" ht="19.5" customHeight="1" thickBot="1">
      <c r="A7" s="93" t="s">
        <v>104</v>
      </c>
      <c r="B7" s="80"/>
      <c r="C7" s="163">
        <v>0.35</v>
      </c>
      <c r="D7" s="163">
        <v>0.65</v>
      </c>
      <c r="E7" s="163">
        <f>SUM(C7:D7)</f>
        <v>1</v>
      </c>
    </row>
    <row r="8" spans="1:5" ht="19.5" customHeight="1">
      <c r="A8" s="17" t="s">
        <v>106</v>
      </c>
      <c r="B8" s="75"/>
      <c r="C8" s="36">
        <v>33023024</v>
      </c>
      <c r="D8" s="36">
        <v>112712241</v>
      </c>
      <c r="E8" s="36">
        <f>SUM(C8:D8)</f>
        <v>145735265</v>
      </c>
    </row>
    <row r="9" spans="1:5" ht="19.5" customHeight="1" thickBot="1">
      <c r="A9" s="93" t="s">
        <v>105</v>
      </c>
      <c r="B9" s="80"/>
      <c r="C9" s="163">
        <v>-0.12</v>
      </c>
      <c r="D9" s="163">
        <v>-0.22</v>
      </c>
      <c r="E9" s="163">
        <v>-0.19</v>
      </c>
    </row>
    <row r="10" spans="1:5" ht="19.5" customHeight="1">
      <c r="A10" s="17" t="s">
        <v>90</v>
      </c>
      <c r="B10" s="75"/>
      <c r="C10" s="36">
        <v>59823718</v>
      </c>
      <c r="D10" s="36">
        <v>260312065</v>
      </c>
      <c r="E10" s="36">
        <f>SUM(C10:D10)</f>
        <v>320135783</v>
      </c>
    </row>
    <row r="11" spans="1:5" ht="19.5" customHeight="1" thickBot="1">
      <c r="A11" s="93" t="s">
        <v>107</v>
      </c>
      <c r="B11" s="80"/>
      <c r="C11" s="163">
        <v>-0.22</v>
      </c>
      <c r="D11" s="163">
        <v>-0.52</v>
      </c>
      <c r="E11" s="163">
        <v>-0.41</v>
      </c>
    </row>
    <row r="12" spans="1:5" ht="19.5" customHeight="1">
      <c r="A12" s="17" t="s">
        <v>108</v>
      </c>
      <c r="B12" s="75"/>
      <c r="C12" s="36">
        <v>13313905</v>
      </c>
      <c r="D12" s="36">
        <v>58796001</v>
      </c>
      <c r="E12" s="36">
        <f>SUM(C12:D12)</f>
        <v>72109906</v>
      </c>
    </row>
    <row r="13" spans="1:5" ht="19.5" customHeight="1" thickBot="1">
      <c r="A13" s="93" t="s">
        <v>109</v>
      </c>
      <c r="B13" s="80"/>
      <c r="C13" s="163">
        <v>0.22</v>
      </c>
      <c r="D13" s="163">
        <v>0.23</v>
      </c>
      <c r="E13" s="163">
        <v>0.23</v>
      </c>
    </row>
    <row r="14" spans="1:5" ht="19.5" customHeight="1" thickBot="1">
      <c r="A14" s="89" t="s">
        <v>110</v>
      </c>
      <c r="B14" s="72"/>
      <c r="C14" s="164">
        <v>150819410</v>
      </c>
      <c r="D14" s="164">
        <v>35722484</v>
      </c>
      <c r="E14" s="164">
        <f>SUM(C14:D14)</f>
        <v>186541894</v>
      </c>
    </row>
    <row r="15" spans="1:5" ht="19.5" customHeight="1">
      <c r="A15" s="17" t="s">
        <v>111</v>
      </c>
      <c r="B15" s="75"/>
      <c r="C15" s="36">
        <v>30940891</v>
      </c>
      <c r="D15" s="36">
        <v>81296392</v>
      </c>
      <c r="E15" s="36">
        <f>SUM(C15:D15)</f>
        <v>112237283</v>
      </c>
    </row>
    <row r="16" spans="1:5" ht="19.5" customHeight="1" thickBot="1">
      <c r="A16" s="93" t="s">
        <v>112</v>
      </c>
      <c r="B16" s="80"/>
      <c r="C16" s="163">
        <v>-0.11</v>
      </c>
      <c r="D16" s="163">
        <v>-0.16</v>
      </c>
      <c r="E16" s="163">
        <v>-0.14</v>
      </c>
    </row>
    <row r="17" spans="1:5" ht="19.5" customHeight="1">
      <c r="A17" s="17" t="s">
        <v>113</v>
      </c>
      <c r="B17" s="75"/>
      <c r="C17" s="36">
        <v>7434555</v>
      </c>
      <c r="D17" s="36">
        <v>19639717</v>
      </c>
      <c r="E17" s="36">
        <f>SUM(C17:D17)</f>
        <v>27074272</v>
      </c>
    </row>
    <row r="18" spans="1:5" ht="19.5" customHeight="1" thickBot="1">
      <c r="A18" s="93" t="s">
        <v>114</v>
      </c>
      <c r="B18" s="80"/>
      <c r="C18" s="163">
        <v>0.23</v>
      </c>
      <c r="D18" s="163">
        <v>0.17</v>
      </c>
      <c r="E18" s="163">
        <v>0.19</v>
      </c>
    </row>
    <row r="19" spans="1:5" ht="19.5" customHeight="1">
      <c r="A19" s="50" t="s">
        <v>115</v>
      </c>
      <c r="B19" s="76"/>
      <c r="C19" s="37">
        <v>19057735</v>
      </c>
      <c r="D19" s="37">
        <v>91721942</v>
      </c>
      <c r="E19" s="37">
        <f>SUM(C19:D19)</f>
        <v>110779677</v>
      </c>
    </row>
    <row r="20" spans="1:5" ht="19.5" customHeight="1" thickBot="1">
      <c r="A20" s="108" t="s">
        <v>116</v>
      </c>
      <c r="B20" s="52"/>
      <c r="C20" s="165">
        <v>0.07</v>
      </c>
      <c r="D20" s="165">
        <v>0.18</v>
      </c>
      <c r="E20" s="165">
        <v>0.14</v>
      </c>
    </row>
    <row r="21" spans="1:5" ht="19.5" customHeight="1">
      <c r="A21" s="17" t="s">
        <v>117</v>
      </c>
      <c r="B21" s="75"/>
      <c r="C21" s="36">
        <v>42426804</v>
      </c>
      <c r="D21" s="36">
        <v>27895061</v>
      </c>
      <c r="E21" s="36">
        <f>SUM(C21:D21)</f>
        <v>70321865</v>
      </c>
    </row>
    <row r="22" spans="1:5" ht="19.5" customHeight="1" thickBot="1">
      <c r="A22" s="93" t="s">
        <v>118</v>
      </c>
      <c r="B22" s="80"/>
      <c r="C22" s="163">
        <v>0.16</v>
      </c>
      <c r="D22" s="163">
        <v>0.06</v>
      </c>
      <c r="E22" s="163">
        <v>0.09</v>
      </c>
    </row>
    <row r="23" spans="1:5" ht="19.5" customHeight="1">
      <c r="A23" s="17" t="s">
        <v>119</v>
      </c>
      <c r="B23" s="75"/>
      <c r="C23" s="36">
        <v>22445863</v>
      </c>
      <c r="D23" s="36">
        <v>100757079</v>
      </c>
      <c r="E23" s="36">
        <v>123202943</v>
      </c>
    </row>
    <row r="24" spans="1:5" ht="19.5" customHeight="1" thickBot="1">
      <c r="A24" s="93" t="s">
        <v>120</v>
      </c>
      <c r="B24" s="80"/>
      <c r="C24" s="163">
        <v>-0.08</v>
      </c>
      <c r="D24" s="163">
        <v>-0.2</v>
      </c>
      <c r="E24" s="163">
        <v>-0.16</v>
      </c>
    </row>
    <row r="25" spans="1:5" ht="19.5" customHeight="1" thickBot="1">
      <c r="A25" s="89" t="s">
        <v>121</v>
      </c>
      <c r="B25" s="72"/>
      <c r="C25" s="164">
        <v>3976966</v>
      </c>
      <c r="D25" s="164">
        <v>6700974</v>
      </c>
      <c r="E25" s="164">
        <f>SUM(C25:D25)</f>
        <v>10677940</v>
      </c>
    </row>
    <row r="26" spans="1:5" ht="19.5" customHeight="1" thickBot="1">
      <c r="A26" s="90" t="s">
        <v>122</v>
      </c>
      <c r="B26" s="35"/>
      <c r="C26" s="28">
        <v>35061709</v>
      </c>
      <c r="D26" s="28">
        <v>12158949</v>
      </c>
      <c r="E26" s="28">
        <f>SUM(C26:D26)</f>
        <v>47220658</v>
      </c>
    </row>
    <row r="27" spans="1:5" ht="19.5" customHeight="1" thickBot="1">
      <c r="A27" s="168" t="s">
        <v>123</v>
      </c>
      <c r="B27" s="166"/>
      <c r="C27" s="167">
        <v>0.13</v>
      </c>
      <c r="D27" s="167">
        <v>0.02</v>
      </c>
      <c r="E27" s="167">
        <v>0.06</v>
      </c>
    </row>
  </sheetData>
  <sheetProtection/>
  <mergeCells count="5">
    <mergeCell ref="E4:E5"/>
    <mergeCell ref="A4:B4"/>
    <mergeCell ref="A5:B5"/>
    <mergeCell ref="C4:C5"/>
    <mergeCell ref="D4:D5"/>
  </mergeCells>
  <printOptions horizontalCentered="1"/>
  <pageMargins left="0" right="0" top="0.5" bottom="0.5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6.7109375" style="6" customWidth="1"/>
    <col min="3" max="3" width="8.57421875" style="6" bestFit="1" customWidth="1"/>
    <col min="4" max="4" width="9.421875" style="6" bestFit="1" customWidth="1"/>
    <col min="5" max="6" width="8.421875" style="6" bestFit="1" customWidth="1"/>
    <col min="7" max="7" width="10.7109375" style="6" customWidth="1"/>
    <col min="8" max="8" width="11.7109375" style="6" customWidth="1"/>
    <col min="9" max="9" width="8.7109375" style="6" bestFit="1" customWidth="1"/>
    <col min="10" max="10" width="8.57421875" style="6" bestFit="1" customWidth="1"/>
    <col min="11" max="11" width="11.8515625" style="6" bestFit="1" customWidth="1"/>
    <col min="12" max="12" width="8.140625" style="6" bestFit="1" customWidth="1"/>
    <col min="13" max="13" width="8.8515625" style="6" bestFit="1" customWidth="1"/>
    <col min="14" max="16384" width="9.140625" style="6" customWidth="1"/>
  </cols>
  <sheetData>
    <row r="1" ht="18.75">
      <c r="A1" s="1" t="s">
        <v>134</v>
      </c>
    </row>
    <row r="2" ht="12.75">
      <c r="A2" s="6" t="s">
        <v>140</v>
      </c>
    </row>
    <row r="3" ht="13.5" thickBot="1"/>
    <row r="4" spans="1:13" ht="12.75">
      <c r="A4" s="267" t="s">
        <v>99</v>
      </c>
      <c r="B4" s="267"/>
      <c r="C4" s="268" t="s">
        <v>124</v>
      </c>
      <c r="D4" s="271" t="s">
        <v>125</v>
      </c>
      <c r="E4" s="268" t="s">
        <v>126</v>
      </c>
      <c r="F4" s="268" t="s">
        <v>391</v>
      </c>
      <c r="G4" s="271" t="s">
        <v>127</v>
      </c>
      <c r="H4" s="271" t="s">
        <v>128</v>
      </c>
      <c r="I4" s="268" t="s">
        <v>129</v>
      </c>
      <c r="J4" s="271" t="s">
        <v>130</v>
      </c>
      <c r="K4" s="268" t="s">
        <v>131</v>
      </c>
      <c r="L4" s="268" t="s">
        <v>132</v>
      </c>
      <c r="M4" s="268" t="s">
        <v>14</v>
      </c>
    </row>
    <row r="5" spans="1:13" ht="13.5" thickBot="1">
      <c r="A5" s="270" t="s">
        <v>100</v>
      </c>
      <c r="B5" s="270"/>
      <c r="C5" s="269"/>
      <c r="D5" s="272"/>
      <c r="E5" s="269"/>
      <c r="F5" s="269"/>
      <c r="G5" s="272"/>
      <c r="H5" s="272"/>
      <c r="I5" s="269"/>
      <c r="J5" s="272"/>
      <c r="K5" s="269"/>
      <c r="L5" s="269"/>
      <c r="M5" s="269"/>
    </row>
    <row r="6" spans="1:13" ht="12.75">
      <c r="A6" s="14" t="s">
        <v>103</v>
      </c>
      <c r="B6" s="75"/>
      <c r="C6" s="170">
        <v>180480446</v>
      </c>
      <c r="D6" s="170">
        <v>92444871</v>
      </c>
      <c r="E6" s="170">
        <v>50150493</v>
      </c>
      <c r="F6" s="170">
        <v>25350150</v>
      </c>
      <c r="G6" s="170">
        <v>39964585</v>
      </c>
      <c r="H6" s="170">
        <v>115921038</v>
      </c>
      <c r="I6" s="170">
        <v>190286652</v>
      </c>
      <c r="J6" s="170">
        <v>37552458</v>
      </c>
      <c r="K6" s="170">
        <v>25372611</v>
      </c>
      <c r="L6" s="170">
        <v>18731418</v>
      </c>
      <c r="M6" s="170">
        <f>SUM(C6:L6)</f>
        <v>776254722</v>
      </c>
    </row>
    <row r="7" spans="1:13" ht="13.5" thickBot="1">
      <c r="A7" s="16" t="s">
        <v>104</v>
      </c>
      <c r="B7" s="80"/>
      <c r="C7" s="171">
        <v>0.23</v>
      </c>
      <c r="D7" s="171">
        <v>0.12</v>
      </c>
      <c r="E7" s="171">
        <v>0.06</v>
      </c>
      <c r="F7" s="171">
        <v>0.03</v>
      </c>
      <c r="G7" s="171">
        <v>0.05</v>
      </c>
      <c r="H7" s="171">
        <v>0.15</v>
      </c>
      <c r="I7" s="171">
        <v>0.25</v>
      </c>
      <c r="J7" s="171">
        <v>0.05</v>
      </c>
      <c r="K7" s="171">
        <v>0.03</v>
      </c>
      <c r="L7" s="171">
        <v>0.02</v>
      </c>
      <c r="M7" s="171">
        <f>SUM(C7:L7)</f>
        <v>0.99</v>
      </c>
    </row>
    <row r="8" spans="1:13" ht="12.75">
      <c r="A8" s="14" t="s">
        <v>106</v>
      </c>
      <c r="B8" s="75"/>
      <c r="C8" s="170">
        <v>-31343337</v>
      </c>
      <c r="D8" s="170">
        <v>-1688687</v>
      </c>
      <c r="E8" s="170">
        <v>-32931345</v>
      </c>
      <c r="F8" s="170">
        <v>-12549626</v>
      </c>
      <c r="G8" s="170">
        <v>-1032326</v>
      </c>
      <c r="H8" s="170">
        <v>-5553138</v>
      </c>
      <c r="I8" s="170">
        <v>-32956851</v>
      </c>
      <c r="J8" s="170">
        <v>-6160363</v>
      </c>
      <c r="K8" s="170">
        <v>-12802624</v>
      </c>
      <c r="L8" s="170">
        <v>-8725969</v>
      </c>
      <c r="M8" s="170">
        <f>SUM(C8:L8)</f>
        <v>-145744266</v>
      </c>
    </row>
    <row r="9" spans="1:13" ht="13.5" thickBot="1">
      <c r="A9" s="16" t="s">
        <v>105</v>
      </c>
      <c r="B9" s="80"/>
      <c r="C9" s="171">
        <v>-0.17</v>
      </c>
      <c r="D9" s="171">
        <v>-0.02</v>
      </c>
      <c r="E9" s="171">
        <v>-0.66</v>
      </c>
      <c r="F9" s="171">
        <v>-0.5</v>
      </c>
      <c r="G9" s="171">
        <v>-0.03</v>
      </c>
      <c r="H9" s="171">
        <v>-0.05</v>
      </c>
      <c r="I9" s="171">
        <v>-0.17</v>
      </c>
      <c r="J9" s="171">
        <v>-0.16</v>
      </c>
      <c r="K9" s="171">
        <v>-0.5</v>
      </c>
      <c r="L9" s="171">
        <v>-0.47</v>
      </c>
      <c r="M9" s="171">
        <v>-0.19</v>
      </c>
    </row>
    <row r="10" spans="1:13" ht="12.75">
      <c r="A10" s="14" t="s">
        <v>90</v>
      </c>
      <c r="B10" s="75"/>
      <c r="C10" s="170">
        <v>-38700317</v>
      </c>
      <c r="D10" s="170">
        <v>-21123401</v>
      </c>
      <c r="E10" s="170">
        <v>-22025549</v>
      </c>
      <c r="F10" s="170">
        <v>-5532411</v>
      </c>
      <c r="G10" s="170">
        <v>-12507142</v>
      </c>
      <c r="H10" s="170">
        <v>-61974175</v>
      </c>
      <c r="I10" s="170">
        <v>-137679058</v>
      </c>
      <c r="J10" s="170">
        <v>-11317208</v>
      </c>
      <c r="K10" s="170">
        <v>-4903500</v>
      </c>
      <c r="L10" s="170">
        <v>-4373021</v>
      </c>
      <c r="M10" s="170">
        <f>SUM(C10:L10)</f>
        <v>-320135782</v>
      </c>
    </row>
    <row r="11" spans="1:13" ht="13.5" thickBot="1">
      <c r="A11" s="33" t="s">
        <v>107</v>
      </c>
      <c r="B11" s="172"/>
      <c r="C11" s="173">
        <v>-0.21</v>
      </c>
      <c r="D11" s="173">
        <v>-0.23</v>
      </c>
      <c r="E11" s="173">
        <v>-0.44</v>
      </c>
      <c r="F11" s="173">
        <v>-0.22</v>
      </c>
      <c r="G11" s="173">
        <v>-0.31</v>
      </c>
      <c r="H11" s="173">
        <v>-0.53</v>
      </c>
      <c r="I11" s="173">
        <v>-0.72</v>
      </c>
      <c r="J11" s="173">
        <v>-0.3</v>
      </c>
      <c r="K11" s="173">
        <v>-0.19</v>
      </c>
      <c r="L11" s="173">
        <v>-0.23</v>
      </c>
      <c r="M11" s="173">
        <v>-0.41</v>
      </c>
    </row>
    <row r="12" spans="1:13" ht="13.5" customHeight="1">
      <c r="A12" s="14" t="s">
        <v>108</v>
      </c>
      <c r="B12" s="75"/>
      <c r="C12" s="170">
        <v>13303905</v>
      </c>
      <c r="D12" s="170">
        <v>10000</v>
      </c>
      <c r="E12" s="170">
        <v>20437273</v>
      </c>
      <c r="F12" s="170">
        <v>3735999</v>
      </c>
      <c r="G12" s="170">
        <v>374347</v>
      </c>
      <c r="H12" s="170">
        <v>1101902</v>
      </c>
      <c r="I12" s="170">
        <v>25292526</v>
      </c>
      <c r="J12" s="170">
        <v>3661735</v>
      </c>
      <c r="K12" s="170">
        <v>2645639</v>
      </c>
      <c r="L12" s="170">
        <v>1546581</v>
      </c>
      <c r="M12" s="170">
        <f>SUM(C12:L12)</f>
        <v>72109907</v>
      </c>
    </row>
    <row r="13" spans="1:13" ht="23.25" thickBot="1">
      <c r="A13" s="16" t="s">
        <v>109</v>
      </c>
      <c r="B13" s="80"/>
      <c r="C13" s="171">
        <v>0.34</v>
      </c>
      <c r="D13" s="171">
        <v>0</v>
      </c>
      <c r="E13" s="171">
        <v>0.93</v>
      </c>
      <c r="F13" s="171">
        <v>0.68</v>
      </c>
      <c r="G13" s="171">
        <v>0.03</v>
      </c>
      <c r="H13" s="171">
        <v>0.02</v>
      </c>
      <c r="I13" s="171">
        <v>0.18</v>
      </c>
      <c r="J13" s="171">
        <v>0.32</v>
      </c>
      <c r="K13" s="171">
        <v>0.54</v>
      </c>
      <c r="L13" s="171">
        <v>0.35</v>
      </c>
      <c r="M13" s="171">
        <v>0.23</v>
      </c>
    </row>
    <row r="14" spans="1:13" ht="23.25" thickBot="1">
      <c r="A14" s="70" t="s">
        <v>110</v>
      </c>
      <c r="B14" s="72"/>
      <c r="C14" s="169">
        <v>-80496158</v>
      </c>
      <c r="D14" s="169">
        <v>-70323252</v>
      </c>
      <c r="E14" s="169">
        <v>-329611</v>
      </c>
      <c r="F14" s="169">
        <v>-1546634</v>
      </c>
      <c r="G14" s="169">
        <v>-6214514</v>
      </c>
      <c r="H14" s="169">
        <v>-18565193</v>
      </c>
      <c r="I14" s="169">
        <v>-3407351</v>
      </c>
      <c r="J14" s="169">
        <v>-4956138</v>
      </c>
      <c r="K14" s="169">
        <v>-360170</v>
      </c>
      <c r="L14" s="169">
        <v>-342874</v>
      </c>
      <c r="M14" s="169">
        <f>SUM(C14:L14)</f>
        <v>-186541895</v>
      </c>
    </row>
    <row r="15" spans="1:13" ht="33.75">
      <c r="A15" s="14" t="s">
        <v>111</v>
      </c>
      <c r="B15" s="75"/>
      <c r="C15" s="170">
        <v>-18293683</v>
      </c>
      <c r="D15" s="170">
        <v>-12647208</v>
      </c>
      <c r="E15" s="170">
        <v>-8494752</v>
      </c>
      <c r="F15" s="170">
        <v>-4343848</v>
      </c>
      <c r="G15" s="170">
        <v>-9684165</v>
      </c>
      <c r="H15" s="170">
        <v>-23984348</v>
      </c>
      <c r="I15" s="170">
        <v>-17555838</v>
      </c>
      <c r="J15" s="170">
        <v>-9783520</v>
      </c>
      <c r="K15" s="170">
        <v>-4790831</v>
      </c>
      <c r="L15" s="170">
        <v>-2659090</v>
      </c>
      <c r="M15" s="170">
        <f>SUM(C15:L15)</f>
        <v>-112237283</v>
      </c>
    </row>
    <row r="16" spans="1:13" ht="23.25" thickBot="1">
      <c r="A16" s="16" t="s">
        <v>112</v>
      </c>
      <c r="B16" s="80"/>
      <c r="C16" s="171">
        <v>-0.1</v>
      </c>
      <c r="D16" s="171">
        <v>-0.14</v>
      </c>
      <c r="E16" s="171">
        <v>-0.17</v>
      </c>
      <c r="F16" s="171">
        <v>-0.17</v>
      </c>
      <c r="G16" s="171">
        <v>-0.24</v>
      </c>
      <c r="H16" s="171">
        <v>-0.21</v>
      </c>
      <c r="I16" s="171">
        <v>-0.09</v>
      </c>
      <c r="J16" s="171">
        <v>-0.26</v>
      </c>
      <c r="K16" s="171">
        <v>-0.19</v>
      </c>
      <c r="L16" s="171">
        <v>-0.14</v>
      </c>
      <c r="M16" s="171">
        <v>-0.14</v>
      </c>
    </row>
    <row r="17" spans="1:13" ht="22.5">
      <c r="A17" s="14" t="s">
        <v>113</v>
      </c>
      <c r="B17" s="75"/>
      <c r="C17" s="170">
        <v>7330479</v>
      </c>
      <c r="D17" s="170">
        <v>104076</v>
      </c>
      <c r="E17" s="170">
        <v>7150975</v>
      </c>
      <c r="F17" s="170">
        <v>2853994</v>
      </c>
      <c r="G17" s="170">
        <v>104282</v>
      </c>
      <c r="H17" s="170">
        <v>715918</v>
      </c>
      <c r="I17" s="170">
        <v>3625347</v>
      </c>
      <c r="J17" s="170">
        <v>1376617</v>
      </c>
      <c r="K17" s="170">
        <v>2296869</v>
      </c>
      <c r="L17" s="170">
        <v>1515715</v>
      </c>
      <c r="M17" s="170">
        <f>SUM(C17:L17)</f>
        <v>27074272</v>
      </c>
    </row>
    <row r="18" spans="1:13" ht="23.25" thickBot="1">
      <c r="A18" s="16" t="s">
        <v>114</v>
      </c>
      <c r="B18" s="80"/>
      <c r="C18" s="171">
        <v>0.23</v>
      </c>
      <c r="D18" s="171">
        <v>0.06</v>
      </c>
      <c r="E18" s="171">
        <v>0.22</v>
      </c>
      <c r="F18" s="171">
        <v>0.23</v>
      </c>
      <c r="G18" s="171">
        <v>0.1</v>
      </c>
      <c r="H18" s="171">
        <v>0.13</v>
      </c>
      <c r="I18" s="171">
        <v>0.11</v>
      </c>
      <c r="J18" s="171">
        <v>0.22</v>
      </c>
      <c r="K18" s="171">
        <v>0.18</v>
      </c>
      <c r="L18" s="171">
        <v>0.17</v>
      </c>
      <c r="M18" s="171">
        <v>0.19</v>
      </c>
    </row>
    <row r="19" spans="1:13" ht="21">
      <c r="A19" s="9" t="s">
        <v>115</v>
      </c>
      <c r="B19" s="76"/>
      <c r="C19" s="174">
        <v>32281335</v>
      </c>
      <c r="D19" s="174">
        <v>-13223600</v>
      </c>
      <c r="E19" s="174">
        <v>13957484</v>
      </c>
      <c r="F19" s="174">
        <v>7967623</v>
      </c>
      <c r="G19" s="174">
        <v>11005067</v>
      </c>
      <c r="H19" s="174">
        <v>7662004</v>
      </c>
      <c r="I19" s="174">
        <v>27605426</v>
      </c>
      <c r="J19" s="174">
        <v>10373582</v>
      </c>
      <c r="K19" s="174">
        <v>7457995</v>
      </c>
      <c r="L19" s="174">
        <v>5692760</v>
      </c>
      <c r="M19" s="174">
        <f>SUM(C19:L19)</f>
        <v>110779676</v>
      </c>
    </row>
    <row r="20" spans="1:13" ht="21.75" thickBot="1">
      <c r="A20" s="11" t="s">
        <v>116</v>
      </c>
      <c r="B20" s="52"/>
      <c r="C20" s="175">
        <v>0.18</v>
      </c>
      <c r="D20" s="175">
        <v>-0.14</v>
      </c>
      <c r="E20" s="175">
        <v>0.28</v>
      </c>
      <c r="F20" s="175">
        <v>0.31</v>
      </c>
      <c r="G20" s="175">
        <v>0.28</v>
      </c>
      <c r="H20" s="175">
        <v>0.07</v>
      </c>
      <c r="I20" s="175">
        <v>0.15</v>
      </c>
      <c r="J20" s="175">
        <v>0.28</v>
      </c>
      <c r="K20" s="175">
        <v>0.29</v>
      </c>
      <c r="L20" s="175">
        <v>0.3</v>
      </c>
      <c r="M20" s="175">
        <v>0.14</v>
      </c>
    </row>
    <row r="21" spans="1:13" ht="12.75">
      <c r="A21" s="14" t="s">
        <v>117</v>
      </c>
      <c r="B21" s="75"/>
      <c r="C21" s="170">
        <v>23227327</v>
      </c>
      <c r="D21" s="170">
        <v>19199477</v>
      </c>
      <c r="E21" s="170">
        <v>2594894</v>
      </c>
      <c r="F21" s="170">
        <v>1595311</v>
      </c>
      <c r="G21" s="170">
        <v>3357159</v>
      </c>
      <c r="H21" s="170">
        <v>7597604</v>
      </c>
      <c r="I21" s="170">
        <v>6968473</v>
      </c>
      <c r="J21" s="170">
        <v>3368451</v>
      </c>
      <c r="K21" s="170">
        <v>1193950</v>
      </c>
      <c r="L21" s="170">
        <v>1219217</v>
      </c>
      <c r="M21" s="170">
        <f>SUM(C21:L21)</f>
        <v>70321863</v>
      </c>
    </row>
    <row r="22" spans="1:13" ht="23.25" thickBot="1">
      <c r="A22" s="16" t="s">
        <v>118</v>
      </c>
      <c r="B22" s="80"/>
      <c r="C22" s="171">
        <v>0.13</v>
      </c>
      <c r="D22" s="171">
        <v>0.21</v>
      </c>
      <c r="E22" s="171">
        <v>0.05</v>
      </c>
      <c r="F22" s="171">
        <v>0.06</v>
      </c>
      <c r="G22" s="171">
        <v>0.08</v>
      </c>
      <c r="H22" s="171">
        <v>0.07</v>
      </c>
      <c r="I22" s="171">
        <v>0.04</v>
      </c>
      <c r="J22" s="171">
        <v>0.09</v>
      </c>
      <c r="K22" s="171">
        <v>0.05</v>
      </c>
      <c r="L22" s="171">
        <v>0.07</v>
      </c>
      <c r="M22" s="171">
        <v>0.09</v>
      </c>
    </row>
    <row r="23" spans="1:13" ht="22.5">
      <c r="A23" s="14" t="s">
        <v>119</v>
      </c>
      <c r="B23" s="75"/>
      <c r="C23" s="170">
        <v>-16478846</v>
      </c>
      <c r="D23" s="170">
        <v>-5967017</v>
      </c>
      <c r="E23" s="170">
        <v>-9455836</v>
      </c>
      <c r="F23" s="170">
        <v>-4847814</v>
      </c>
      <c r="G23" s="170">
        <v>-9276115</v>
      </c>
      <c r="H23" s="170">
        <v>-28317857</v>
      </c>
      <c r="I23" s="170">
        <v>-30576944</v>
      </c>
      <c r="J23" s="170">
        <v>-8878500</v>
      </c>
      <c r="K23" s="170">
        <v>-4780337</v>
      </c>
      <c r="L23" s="170">
        <v>-4623676</v>
      </c>
      <c r="M23" s="170">
        <v>123202943</v>
      </c>
    </row>
    <row r="24" spans="1:13" ht="23.25" thickBot="1">
      <c r="A24" s="16" t="s">
        <v>120</v>
      </c>
      <c r="B24" s="80"/>
      <c r="C24" s="171">
        <v>-0.09</v>
      </c>
      <c r="D24" s="171">
        <v>-0.06</v>
      </c>
      <c r="E24" s="171">
        <v>-0.19</v>
      </c>
      <c r="F24" s="171">
        <v>-0.19</v>
      </c>
      <c r="G24" s="171">
        <v>-0.23</v>
      </c>
      <c r="H24" s="171">
        <v>-0.24</v>
      </c>
      <c r="I24" s="171">
        <v>-0.16</v>
      </c>
      <c r="J24" s="171">
        <v>-0.24</v>
      </c>
      <c r="K24" s="171">
        <v>-0.19</v>
      </c>
      <c r="L24" s="171">
        <v>-0.25</v>
      </c>
      <c r="M24" s="171">
        <v>-0.16</v>
      </c>
    </row>
    <row r="25" spans="1:13" ht="13.5" thickBot="1">
      <c r="A25" s="70" t="s">
        <v>121</v>
      </c>
      <c r="B25" s="72"/>
      <c r="C25" s="169">
        <v>-2720084</v>
      </c>
      <c r="D25" s="169">
        <v>-1256882</v>
      </c>
      <c r="E25" s="169">
        <v>-976503</v>
      </c>
      <c r="F25" s="169">
        <v>-391946</v>
      </c>
      <c r="G25" s="169">
        <v>-399088</v>
      </c>
      <c r="H25" s="169">
        <v>-1411529</v>
      </c>
      <c r="I25" s="169">
        <v>-2322717</v>
      </c>
      <c r="J25" s="169">
        <v>-501405</v>
      </c>
      <c r="K25" s="169">
        <v>-437948</v>
      </c>
      <c r="L25" s="169">
        <v>-259839</v>
      </c>
      <c r="M25" s="169">
        <f>SUM(C25:L25)</f>
        <v>-10677941</v>
      </c>
    </row>
    <row r="26" spans="1:13" ht="13.5" thickBot="1">
      <c r="A26" s="69" t="s">
        <v>122</v>
      </c>
      <c r="B26" s="35"/>
      <c r="C26" s="176">
        <v>36309731</v>
      </c>
      <c r="D26" s="176">
        <v>-1248022</v>
      </c>
      <c r="E26" s="176">
        <v>6120039</v>
      </c>
      <c r="F26" s="176">
        <v>4323175</v>
      </c>
      <c r="G26" s="176">
        <v>4687024</v>
      </c>
      <c r="H26" s="176">
        <v>-14469778</v>
      </c>
      <c r="I26" s="176">
        <v>1674238</v>
      </c>
      <c r="J26" s="176">
        <v>4362129</v>
      </c>
      <c r="K26" s="176">
        <v>3433660</v>
      </c>
      <c r="L26" s="176">
        <v>2028462</v>
      </c>
      <c r="M26" s="176">
        <f>SUM(C26:L26)</f>
        <v>47220658</v>
      </c>
    </row>
    <row r="27" spans="1:13" ht="13.5" thickBot="1">
      <c r="A27" s="69" t="s">
        <v>123</v>
      </c>
      <c r="B27" s="35"/>
      <c r="C27" s="177">
        <v>0.2</v>
      </c>
      <c r="D27" s="177">
        <v>-0.01</v>
      </c>
      <c r="E27" s="177">
        <v>0.12</v>
      </c>
      <c r="F27" s="177">
        <v>0.17</v>
      </c>
      <c r="G27" s="177">
        <v>0.12</v>
      </c>
      <c r="H27" s="177">
        <v>-0.12</v>
      </c>
      <c r="I27" s="177">
        <v>0.01</v>
      </c>
      <c r="J27" s="177">
        <v>0.12</v>
      </c>
      <c r="K27" s="177">
        <v>0.14</v>
      </c>
      <c r="L27" s="177">
        <v>0.11</v>
      </c>
      <c r="M27" s="177">
        <v>0.06</v>
      </c>
    </row>
  </sheetData>
  <sheetProtection/>
  <mergeCells count="13">
    <mergeCell ref="I4:I5"/>
    <mergeCell ref="K4:K5"/>
    <mergeCell ref="J4:J5"/>
    <mergeCell ref="A4:B4"/>
    <mergeCell ref="C4:C5"/>
    <mergeCell ref="L4:L5"/>
    <mergeCell ref="M4:M5"/>
    <mergeCell ref="A5:B5"/>
    <mergeCell ref="D4:D5"/>
    <mergeCell ref="E4:E5"/>
    <mergeCell ref="F4:F5"/>
    <mergeCell ref="G4:G5"/>
    <mergeCell ref="H4:H5"/>
  </mergeCells>
  <printOptions horizontalCentered="1"/>
  <pageMargins left="0" right="0" top="0.5" bottom="0.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</cp:lastModifiedBy>
  <cp:lastPrinted>2010-01-26T09:49:57Z</cp:lastPrinted>
  <dcterms:created xsi:type="dcterms:W3CDTF">2006-02-24T09:38:25Z</dcterms:created>
  <dcterms:modified xsi:type="dcterms:W3CDTF">2010-04-19T16:01:23Z</dcterms:modified>
  <cp:category/>
  <cp:version/>
  <cp:contentType/>
  <cp:contentStatus/>
</cp:coreProperties>
</file>