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326" windowWidth="5850" windowHeight="3540" tabRatio="601" activeTab="0"/>
  </bookViews>
  <sheets>
    <sheet name="10." sheetId="1" r:id="rId1"/>
    <sheet name="10.1" sheetId="2" r:id="rId2"/>
    <sheet name="10.2" sheetId="3" r:id="rId3"/>
    <sheet name="10.3" sheetId="4" r:id="rId4"/>
    <sheet name="10.4" sheetId="5" r:id="rId5"/>
    <sheet name="10.5" sheetId="6" r:id="rId6"/>
    <sheet name="10.6-7" sheetId="7" r:id="rId7"/>
    <sheet name="10.8-9" sheetId="8" r:id="rId8"/>
    <sheet name="10.10" sheetId="9" r:id="rId9"/>
    <sheet name="10.11" sheetId="10" r:id="rId10"/>
    <sheet name="10.12-13-14-15-16" sheetId="11" r:id="rId11"/>
    <sheet name="10.17" sheetId="12" r:id="rId12"/>
    <sheet name="10.18" sheetId="13" r:id="rId13"/>
    <sheet name="10.19-28" sheetId="14" r:id="rId14"/>
    <sheet name="10.29-30" sheetId="15" r:id="rId15"/>
    <sheet name="10.31" sheetId="16" r:id="rId16"/>
    <sheet name="10.32" sheetId="17" r:id="rId17"/>
    <sheet name="10.33" sheetId="18" r:id="rId18"/>
    <sheet name="10.34" sheetId="19" r:id="rId19"/>
    <sheet name="10.35" sheetId="20" r:id="rId20"/>
    <sheet name="10.36" sheetId="21" r:id="rId21"/>
    <sheet name="10.37" sheetId="22" r:id="rId22"/>
    <sheet name="10.38" sheetId="23" r:id="rId23"/>
    <sheet name="10.39" sheetId="24" r:id="rId24"/>
    <sheet name="10.40" sheetId="25" r:id="rId25"/>
    <sheet name="10.41" sheetId="26" r:id="rId26"/>
    <sheet name="10.42" sheetId="27" r:id="rId27"/>
    <sheet name="10.43-45" sheetId="28" r:id="rId28"/>
    <sheet name="10.46-47" sheetId="29" r:id="rId29"/>
  </sheets>
  <definedNames>
    <definedName name="_xlnm.Print_Area" localSheetId="13">'10.19-28'!#REF!</definedName>
  </definedNames>
  <calcPr fullCalcOnLoad="1"/>
</workbook>
</file>

<file path=xl/sharedStrings.xml><?xml version="1.0" encoding="utf-8"?>
<sst xmlns="http://schemas.openxmlformats.org/spreadsheetml/2006/main" count="1795" uniqueCount="483">
  <si>
    <t>01/01/2008 - 31/12/2008</t>
  </si>
  <si>
    <t>BLC Bank Listed shares</t>
  </si>
  <si>
    <t>Bank Audi</t>
  </si>
  <si>
    <t>Bank Audi - GDR</t>
  </si>
  <si>
    <t>Bank Audi Pref. Class C</t>
  </si>
  <si>
    <t>Bank Audi Pref. Class D</t>
  </si>
  <si>
    <t>Bank of Beirut - Listed shares</t>
  </si>
  <si>
    <t>Bank of Beirut Pref. Class B</t>
  </si>
  <si>
    <t>Bank of Beirut Pref. Class C</t>
  </si>
  <si>
    <t>Bank of Beirut Pref. Class D</t>
  </si>
  <si>
    <t>Byblos Bank</t>
  </si>
  <si>
    <t>Byblos Bank Pref.</t>
  </si>
  <si>
    <t>Byblos Bank Priority</t>
  </si>
  <si>
    <t>Banque BEMO listed shares</t>
  </si>
  <si>
    <t>Banque BEMO Pref.</t>
  </si>
  <si>
    <t>Blom Bank GDR</t>
  </si>
  <si>
    <t>BLOM Bank Listed shares</t>
  </si>
  <si>
    <t>BLOM Bank Pref. Class 2002</t>
  </si>
  <si>
    <t>BLOM Bank Pref. Class 2004</t>
  </si>
  <si>
    <t>BLOM Bank Pref. Class 2005</t>
  </si>
  <si>
    <t xml:space="preserve">  Rasamny Younis Motor Co."B"</t>
  </si>
  <si>
    <t>Residents Deposits</t>
  </si>
  <si>
    <t>Deposits of residents in LBP</t>
  </si>
  <si>
    <t>Deposits of residents in foreign currencies</t>
  </si>
  <si>
    <t>Non Residents' Deposits</t>
  </si>
  <si>
    <t>Deposits of non residents in LBP</t>
  </si>
  <si>
    <t>Deposits of non residents in foreign currencies</t>
  </si>
  <si>
    <t>Total deposits in LBP</t>
  </si>
  <si>
    <t>Total deposits in foreign currencies</t>
  </si>
  <si>
    <t>Dollarization rate of private sector deposists</t>
  </si>
  <si>
    <t>Table 10.9 - Requests of information at Centrale des Risques per unit</t>
  </si>
  <si>
    <t>Demands</t>
  </si>
  <si>
    <t>Table 10.8 - Private sector deposits in commercial banks (billion LBP)</t>
  </si>
  <si>
    <t>Lending &amp; Deposits Rates (LBP)</t>
  </si>
  <si>
    <t>Discount &amp; Loans</t>
  </si>
  <si>
    <t>Checking &amp; current accounts</t>
  </si>
  <si>
    <t>Savings at call</t>
  </si>
  <si>
    <t>Term deposists</t>
  </si>
  <si>
    <t>Average rate on deposits</t>
  </si>
  <si>
    <t>Interbank Rates on call (LBP) at the end of the period</t>
  </si>
  <si>
    <t>Eurobonds 5 years - Floating Rate Libor 6 month + 3.25 basis points</t>
  </si>
  <si>
    <t>Yield to maturity</t>
  </si>
  <si>
    <t>Spread with US Treasury Bonds</t>
  </si>
  <si>
    <t>Table 10.10 - Interest rate: Commercial banks (%)</t>
  </si>
  <si>
    <t>Lending &amp; Deposits Rates (USD)</t>
  </si>
  <si>
    <t>Table 10.11 - Financing of imports and exports in billions of LBP</t>
  </si>
  <si>
    <t>Documentary L/Cs</t>
  </si>
  <si>
    <t>Opened credits</t>
  </si>
  <si>
    <t>Used credits</t>
  </si>
  <si>
    <t>Imports</t>
  </si>
  <si>
    <t>Exports</t>
  </si>
  <si>
    <t>Oustanding credits at the end of period</t>
  </si>
  <si>
    <t>Bills for collection</t>
  </si>
  <si>
    <t>Inward bills</t>
  </si>
  <si>
    <t>Outward bills</t>
  </si>
  <si>
    <t>Oustanding bills at the end of period</t>
  </si>
  <si>
    <t>Table 10.12 - Geographic distribution of ATMS</t>
  </si>
  <si>
    <t>Beirut &amp; suburbs</t>
  </si>
  <si>
    <t>Mount Lebanon</t>
  </si>
  <si>
    <t>North Lebanon</t>
  </si>
  <si>
    <t>South Lebanon</t>
  </si>
  <si>
    <t>Bekaa</t>
  </si>
  <si>
    <t>Lebanon</t>
  </si>
  <si>
    <t>Table 10.13 - Payment cards: Points of sales (end of period)</t>
  </si>
  <si>
    <t>Number of contracts signed with merchants</t>
  </si>
  <si>
    <t>Number of manual machines</t>
  </si>
  <si>
    <t>Number of electronic machines</t>
  </si>
  <si>
    <t>Table 10.14 - Payment cards: LBP payments &amp; drawings inside Lebanon by residents in %</t>
  </si>
  <si>
    <t>Share of LBP payments out of total payments in LBP &amp; USD</t>
  </si>
  <si>
    <t>Share of LBP withdraws out of total drawings in LBP &amp; USD</t>
  </si>
  <si>
    <t>Table 10.15 - Payment cards: Number of outstanding payments cards</t>
  </si>
  <si>
    <t>Resident cardholders</t>
  </si>
  <si>
    <t>Non resident cardholders</t>
  </si>
  <si>
    <t>Table 10.16 - Payment Cards : Total Amount of Purchases and Cash Withdrawals</t>
  </si>
  <si>
    <t>POS Purchases inside Lebanon by Residents</t>
  </si>
  <si>
    <t>POS Purchases inside Lebanon by Non-Residents</t>
  </si>
  <si>
    <t>POS Purchases &amp; ATM Cash Withdraw- Outside Lebanon by Residents</t>
  </si>
  <si>
    <t>ATM Cash Withdrawals inside Lebanon by Residents</t>
  </si>
  <si>
    <t>ATM Cash Withdrawals inside Lebanon by Non-Residents</t>
  </si>
  <si>
    <t>Table 10.17 - Bank loans to economic sectors</t>
  </si>
  <si>
    <t>Trade and services</t>
  </si>
  <si>
    <t>Percentage</t>
  </si>
  <si>
    <t>Construction and transactions</t>
  </si>
  <si>
    <t>Financial Intermediation</t>
  </si>
  <si>
    <t>Agriculture</t>
  </si>
  <si>
    <t>Other sectors</t>
  </si>
  <si>
    <t>Industry</t>
  </si>
  <si>
    <t>Personal loans</t>
  </si>
  <si>
    <t>Table 10.18 - Bank loans to economic sectors at the end of period</t>
  </si>
  <si>
    <t>Sources:  Banque du Liban / Association des Banques au Liban</t>
  </si>
  <si>
    <t>Table 10.19 - Commercial banks branches in Lebanon at the end of 2008</t>
  </si>
  <si>
    <t>Source: Association des Banques du Liban</t>
  </si>
  <si>
    <t>Type of bank</t>
  </si>
  <si>
    <t>End of 2008</t>
  </si>
  <si>
    <t>Number</t>
  </si>
  <si>
    <t>Commercial bank</t>
  </si>
  <si>
    <t>Business bank</t>
  </si>
  <si>
    <t>Table 10.20 -  Expenditures and revenues of banks in Lebanon between 2004 and 2007</t>
  </si>
  <si>
    <t>Value in billion LBP</t>
  </si>
  <si>
    <t>Expenditures</t>
  </si>
  <si>
    <t>Paid interests</t>
  </si>
  <si>
    <t>Net provisions</t>
  </si>
  <si>
    <t>Employees compensations</t>
  </si>
  <si>
    <t>General expenditures of investments</t>
  </si>
  <si>
    <t>Tax on profit</t>
  </si>
  <si>
    <t>Revenues</t>
  </si>
  <si>
    <t>Received interests</t>
  </si>
  <si>
    <t>Net commissions received andother banking investment revenues</t>
  </si>
  <si>
    <t>Other revenues</t>
  </si>
  <si>
    <t>Net profits</t>
  </si>
  <si>
    <t>% of total</t>
  </si>
  <si>
    <t>Table 10.21 -  Consolidated accounts of profit and loss of banks in Lebanon between 2004 and 2007</t>
  </si>
  <si>
    <t>Interest margin</t>
  </si>
  <si>
    <t>Net provisions on non receivable credits</t>
  </si>
  <si>
    <t>Year to year change in %</t>
  </si>
  <si>
    <t>Net banking product</t>
  </si>
  <si>
    <t>Net of other commissions and revenues (investment and other than investment)</t>
  </si>
  <si>
    <t>Net monetary product</t>
  </si>
  <si>
    <t>Employees' expenses</t>
  </si>
  <si>
    <t>Other general investment charges</t>
  </si>
  <si>
    <t>Exceptional net revenues</t>
  </si>
  <si>
    <t>Net profit before tax</t>
  </si>
  <si>
    <t>Tax on porfit</t>
  </si>
  <si>
    <t>Net profit after tax</t>
  </si>
  <si>
    <t>Table 10.22 -  Banking concentration as at the end of 2007 (in %)</t>
  </si>
  <si>
    <t>Total of Assets</t>
  </si>
  <si>
    <t>Deposists</t>
  </si>
  <si>
    <t>Credits</t>
  </si>
  <si>
    <t>First 5 banks</t>
  </si>
  <si>
    <t>Total Banks (%)</t>
  </si>
  <si>
    <t>First 30 banks</t>
  </si>
  <si>
    <t>First 20 banks</t>
  </si>
  <si>
    <t>First 10 banks</t>
  </si>
  <si>
    <t>Table 10.23 -  Geographic distribution of deposits (%) in December 2007</t>
  </si>
  <si>
    <t>Region</t>
  </si>
  <si>
    <t>Depositor</t>
  </si>
  <si>
    <t>Beirut and its suburbs</t>
  </si>
  <si>
    <t>Mount-Lebanon</t>
  </si>
  <si>
    <t>Table 10.24 -  Geographic distribution of bank credits (%) in December 2007</t>
  </si>
  <si>
    <t>Beneficiary</t>
  </si>
  <si>
    <t>Table 10.25 -  Distribution of credits beneficiary in LBP and in % December 2007</t>
  </si>
  <si>
    <t>Table 10.26 -  Distribution of value of credits in LBP and in % December 2007</t>
  </si>
  <si>
    <t>Table 10.27 -  Geographic distribution of bank agencies</t>
  </si>
  <si>
    <t>Banks number</t>
  </si>
  <si>
    <t>Commercial banks</t>
  </si>
  <si>
    <t>Business banks</t>
  </si>
  <si>
    <t>Number of agencies of commercial banks</t>
  </si>
  <si>
    <t>Overall number of employees</t>
  </si>
  <si>
    <t>By sex</t>
  </si>
  <si>
    <t>Women (%)</t>
  </si>
  <si>
    <t>Men (%)</t>
  </si>
  <si>
    <t>By age</t>
  </si>
  <si>
    <t>Below 25 years (%)</t>
  </si>
  <si>
    <t>25-40 years (%)</t>
  </si>
  <si>
    <t>40-60 years (%)</t>
  </si>
  <si>
    <t>Above 60 years (%)</t>
  </si>
  <si>
    <t>By marital status</t>
  </si>
  <si>
    <t>By rank</t>
  </si>
  <si>
    <t>Single (%)</t>
  </si>
  <si>
    <t>Married (%)</t>
  </si>
  <si>
    <t>Administartor (%)</t>
  </si>
  <si>
    <t>Managers (%)</t>
  </si>
  <si>
    <t>Staff (%)</t>
  </si>
  <si>
    <t>Office boys (%)</t>
  </si>
  <si>
    <t>By level of studies</t>
  </si>
  <si>
    <t>Lower than Baccalaureate (%)</t>
  </si>
  <si>
    <t>Baccalaureate II or equivalent (%)</t>
  </si>
  <si>
    <t>University degree (%)</t>
  </si>
  <si>
    <t>By bank category</t>
  </si>
  <si>
    <t>Lebanese commercial banks SAL (%)</t>
  </si>
  <si>
    <t>Foreign commercial banks (%)</t>
  </si>
  <si>
    <t>Credit banks on the middle and long run (%)</t>
  </si>
  <si>
    <t>Salaries</t>
  </si>
  <si>
    <t>SSNF contributions</t>
  </si>
  <si>
    <t>Additional compensations</t>
  </si>
  <si>
    <t>Family allowances</t>
  </si>
  <si>
    <t>Resreves</t>
  </si>
  <si>
    <t>End-of-service compensations</t>
  </si>
  <si>
    <t>Health allowances</t>
  </si>
  <si>
    <t>Other indemnities</t>
  </si>
  <si>
    <t>Table 10.30 - Average salary of an employee in a bank in 1 000 LBP</t>
  </si>
  <si>
    <t>Thousand LBP</t>
  </si>
  <si>
    <t>Average monthly salary</t>
  </si>
  <si>
    <t>Average monthly salary with its additions*</t>
  </si>
  <si>
    <t>Average monthly salary with all its compensations**</t>
  </si>
  <si>
    <t>Minimum salary in Lebanon</t>
  </si>
  <si>
    <t>* Salary + family allowances + health allowances + other compensations</t>
  </si>
  <si>
    <t>** Salary + family allowances + end of service compensation + health allowances + other compensations</t>
  </si>
  <si>
    <t>Table 10.31 - Beirut Stock Exchange: Monthly Transactions</t>
  </si>
  <si>
    <t>Source: Beirut Stock Exchange</t>
  </si>
  <si>
    <t>Development &amp; Reconstruction</t>
  </si>
  <si>
    <t>Solidere "A"</t>
  </si>
  <si>
    <t>Solidere "B"</t>
  </si>
  <si>
    <t>Peak of  working days</t>
  </si>
  <si>
    <t>Exchanged stocks</t>
  </si>
  <si>
    <t>Trade &amp; Industries</t>
  </si>
  <si>
    <t>Ciment Blanc (Bearer)</t>
  </si>
  <si>
    <t xml:space="preserve">  Ciments  Blancs (nominal)</t>
  </si>
  <si>
    <t xml:space="preserve">  Uniceramic (Nominal "A")</t>
  </si>
  <si>
    <t xml:space="preserve">  Uniceramic (bearer"C")</t>
  </si>
  <si>
    <t>Funds</t>
  </si>
  <si>
    <t>Total of exchanged shares</t>
  </si>
  <si>
    <t>Table 10.31 - Beirut Stock Exchange: Monthly Transactions - Cont.1</t>
  </si>
  <si>
    <t>Table 10.32 - Beirut Stock Exchange: Value of monthly transactions</t>
  </si>
  <si>
    <t>Value of exchanged stocks in 1 000 USD</t>
  </si>
  <si>
    <t>Commerce &amp; Industries</t>
  </si>
  <si>
    <t>Value of exchanged stocks</t>
  </si>
  <si>
    <t xml:space="preserve">  Ciments  Blancs (nominal</t>
  </si>
  <si>
    <t>Investment Funds</t>
  </si>
  <si>
    <t>Value of total  exchanged shares in 1000 USD</t>
  </si>
  <si>
    <t>Uniceramic (bearer"C")</t>
  </si>
  <si>
    <t>Table 10.33 - Beirut Stock Exchange: Market Capitalization at the end of the month</t>
  </si>
  <si>
    <t>Market Capitalization in million USD</t>
  </si>
  <si>
    <t xml:space="preserve"> Ciment Blanc (Bearer)</t>
  </si>
  <si>
    <t>Table 10.34 - Beirut Stock Exchange: Summary 2008</t>
  </si>
  <si>
    <t>Shares volume</t>
  </si>
  <si>
    <t>Share values (USD)</t>
  </si>
  <si>
    <t>Market Capitalization (million USD)</t>
  </si>
  <si>
    <t>Listed companies and investment funds</t>
  </si>
  <si>
    <t>Securities</t>
  </si>
  <si>
    <t>Tarding days</t>
  </si>
  <si>
    <t>Number of brokers</t>
  </si>
  <si>
    <t>Number of deals</t>
  </si>
  <si>
    <t>Daily average (Shares)</t>
  </si>
  <si>
    <t>Daily average (Value in USD)</t>
  </si>
  <si>
    <t>Daily average (Deals)</t>
  </si>
  <si>
    <t>Table 10.35 - Beirut Stock Exchange : Shares Trading movement</t>
  </si>
  <si>
    <t>Sector</t>
  </si>
  <si>
    <t>Company - Fund</t>
  </si>
  <si>
    <t>1000 shares tarded</t>
  </si>
  <si>
    <t>Shares tarded in 1000 USD</t>
  </si>
  <si>
    <t>Number of transactions</t>
  </si>
  <si>
    <t>Opening price</t>
  </si>
  <si>
    <t>High Price</t>
  </si>
  <si>
    <t>Closing Price</t>
  </si>
  <si>
    <t>Number of trading days</t>
  </si>
  <si>
    <t>Currency</t>
  </si>
  <si>
    <t>Low Price</t>
  </si>
  <si>
    <t>Table 10.36 - Beirut Stock Exchange : End of month Closing Prices</t>
  </si>
  <si>
    <t>Clsing USD/LBP</t>
  </si>
  <si>
    <t>Table 10.37 - Beirut Stock Exchange: Yearly Trading Movement - The daily averages</t>
  </si>
  <si>
    <t>Daily averages</t>
  </si>
  <si>
    <t>Share values (1000 USD)</t>
  </si>
  <si>
    <t>Traded shares volume (1000)</t>
  </si>
  <si>
    <t xml:space="preserve"> Tarding days</t>
  </si>
  <si>
    <t>Table 10.38 - Beirut Stock Exchange : Companies and funds monthly weight of traded value</t>
  </si>
  <si>
    <t>Weight %</t>
  </si>
  <si>
    <t>Total value in 1000 USD</t>
  </si>
  <si>
    <t xml:space="preserve"> Uniceramic (bearer"C")</t>
  </si>
  <si>
    <t>Uniceramic (Nominal "A")</t>
  </si>
  <si>
    <t>Ciments  Blancs (nominal)</t>
  </si>
  <si>
    <t>Table 10.38 - Beirut Stock Exchange : Companies and funds monthly weight of traded value - Cont.1</t>
  </si>
  <si>
    <t>Table 10.39 - Beirut Stock Exchange : Shares traded by quarter</t>
  </si>
  <si>
    <t>Shares</t>
  </si>
  <si>
    <t>Quarter 1</t>
  </si>
  <si>
    <t>Quarter 2</t>
  </si>
  <si>
    <t>Quarter 3</t>
  </si>
  <si>
    <t>Quarter 4</t>
  </si>
  <si>
    <t>Total shares</t>
  </si>
  <si>
    <t>Total value</t>
  </si>
  <si>
    <t>Table 10.40 - Beirut Stock Exchange : Monthly trading averages</t>
  </si>
  <si>
    <t>Year</t>
  </si>
  <si>
    <t>Table 10.46 - Money Exchange by Mohafazat</t>
  </si>
  <si>
    <t>Source: Syndicate of Money Exchangers</t>
  </si>
  <si>
    <t>Establishments number</t>
  </si>
  <si>
    <t>Category A</t>
  </si>
  <si>
    <t>Category B</t>
  </si>
  <si>
    <t>Table 10.47 - Number of money exchanger by category</t>
  </si>
  <si>
    <t>Table 10.41 - Beirut Stock Exchange : Trading by sector</t>
  </si>
  <si>
    <t>Number of listed shares in thousands</t>
  </si>
  <si>
    <t>Market capitalization in million at 31/12/2008</t>
  </si>
  <si>
    <t>Value traded in thousands</t>
  </si>
  <si>
    <t>Number traded in thousands</t>
  </si>
  <si>
    <t>Market capitalization in %</t>
  </si>
  <si>
    <t>Weight</t>
  </si>
  <si>
    <t>Value in %</t>
  </si>
  <si>
    <t>Number in %</t>
  </si>
  <si>
    <t>Development &amp; Reconstruction in USD</t>
  </si>
  <si>
    <t>Total USD</t>
  </si>
  <si>
    <t>Banks in USD</t>
  </si>
  <si>
    <t>Trading</t>
  </si>
  <si>
    <t>Holcim Liban</t>
  </si>
  <si>
    <t>Table 10.42 - Beirut Stock Exchange : Monthly trading averages</t>
  </si>
  <si>
    <t>Price</t>
  </si>
  <si>
    <t>High</t>
  </si>
  <si>
    <t>Low</t>
  </si>
  <si>
    <t>Closing</t>
  </si>
  <si>
    <t>Table 10.42 - Beirut Stock Exchange : Monthly trading averages - Cont.1</t>
  </si>
  <si>
    <t xml:space="preserve"> Holcim Liban</t>
  </si>
  <si>
    <t>Beirut Global Income</t>
  </si>
  <si>
    <t>Beirut Lira Fund</t>
  </si>
  <si>
    <t>Beirut Golden Income</t>
  </si>
  <si>
    <t>Beirut Preferred Fund</t>
  </si>
  <si>
    <t>Beirut Global Income (USD)</t>
  </si>
  <si>
    <t>Beirut Preferred Fund (USD)</t>
  </si>
  <si>
    <t>Beirut Lira Fund (LBP)</t>
  </si>
  <si>
    <t>Byblos Bank pref. 2008</t>
  </si>
  <si>
    <t>Beirut Golden Income (LBP)</t>
  </si>
  <si>
    <t>Beirut Lira Fund (USD)</t>
  </si>
  <si>
    <t>Beirut Golden Income (USD)</t>
  </si>
  <si>
    <t>Delisted</t>
  </si>
  <si>
    <t>1000 USD</t>
  </si>
  <si>
    <t>Table 10.1 - Money &amp; Banking - Balance sheet of Bank of Lebanon, End of period</t>
  </si>
  <si>
    <t>Source:  Banque du Liban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</si>
  <si>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</si>
  <si>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</si>
  <si>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</si>
  <si>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</si>
  <si>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</si>
  <si>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</si>
  <si>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</si>
  <si>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</si>
  <si>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</si>
  <si>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</si>
  <si>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</si>
  <si>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</si>
  <si>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Assets in billion LBP</t>
  </si>
  <si>
    <t>Balance Sheet</t>
  </si>
  <si>
    <t>Foreign assets</t>
  </si>
  <si>
    <t>Gold</t>
  </si>
  <si>
    <t>Foreign currencies</t>
  </si>
  <si>
    <t>Claims on private sector</t>
  </si>
  <si>
    <t>Loans to banks</t>
  </si>
  <si>
    <t xml:space="preserve">Loans to specialized financial corporations </t>
  </si>
  <si>
    <t>Loans to public sector</t>
  </si>
  <si>
    <t>Seurities portfolio</t>
  </si>
  <si>
    <t>Fixed assets</t>
  </si>
  <si>
    <t>Unclassified asstes</t>
  </si>
  <si>
    <t>Total assets</t>
  </si>
  <si>
    <t>Currency in circulation outside BDL</t>
  </si>
  <si>
    <t>Commercial banks deposits</t>
  </si>
  <si>
    <t>Deposits of financial corporation</t>
  </si>
  <si>
    <t>Liabilities to the private sector</t>
  </si>
  <si>
    <t>Liabilities in billion LBP</t>
  </si>
  <si>
    <t>Liabilities to the public sector</t>
  </si>
  <si>
    <t>Valuation adjustment</t>
  </si>
  <si>
    <t>Securities other than shares</t>
  </si>
  <si>
    <t>Foreign liabilities</t>
  </si>
  <si>
    <t>Special long term liabilities</t>
  </si>
  <si>
    <t>Capital accounts</t>
  </si>
  <si>
    <t>Unclassified liabilities</t>
  </si>
  <si>
    <t>Total liabilities</t>
  </si>
  <si>
    <t>Table 10.2 - Money &amp; Banking: Consolidated balance sheet of commercial banks at the end of the period</t>
  </si>
  <si>
    <t>Consolidated balance sheet</t>
  </si>
  <si>
    <t xml:space="preserve">Liabilities in billion LBP </t>
  </si>
  <si>
    <t>Reserves</t>
  </si>
  <si>
    <t>Vault Cash</t>
  </si>
  <si>
    <t>Deposits with Central Bank</t>
  </si>
  <si>
    <t>In LBP</t>
  </si>
  <si>
    <t>In foreign currencies</t>
  </si>
  <si>
    <t>Claims on public sector</t>
  </si>
  <si>
    <t>Treasury bills in LBP</t>
  </si>
  <si>
    <t>Treasury bills in USD</t>
  </si>
  <si>
    <t>Other claims</t>
  </si>
  <si>
    <t>Claims on non resident private sector</t>
  </si>
  <si>
    <t>Claims on non resident banks</t>
  </si>
  <si>
    <t>Other foreign assets</t>
  </si>
  <si>
    <t>Unclassified assets</t>
  </si>
  <si>
    <t>Resident private sector deposits</t>
  </si>
  <si>
    <t>Deposits in LBP</t>
  </si>
  <si>
    <t>Deposits in foreign currencies</t>
  </si>
  <si>
    <t>Public sector deposits</t>
  </si>
  <si>
    <t>Sight deposits of public administration</t>
  </si>
  <si>
    <t>Term deposits of public administration</t>
  </si>
  <si>
    <t>Other deposits</t>
  </si>
  <si>
    <t>Non resident private sector deposits</t>
  </si>
  <si>
    <t>Non resident financial sector deposits</t>
  </si>
  <si>
    <t>Bonds</t>
  </si>
  <si>
    <t>Core capital</t>
  </si>
  <si>
    <t>Supplementary capital</t>
  </si>
  <si>
    <t>Table 10.3 - Monetary situation</t>
  </si>
  <si>
    <t>Money</t>
  </si>
  <si>
    <t>Currency in Circulation</t>
  </si>
  <si>
    <t>Demand Deposits in LBP</t>
  </si>
  <si>
    <t>Quasi-money</t>
  </si>
  <si>
    <t>Other deposits in LBP</t>
  </si>
  <si>
    <t>Other deposits in foreign currencies</t>
  </si>
  <si>
    <t>Monetary sitaution, end of period in billion LBP</t>
  </si>
  <si>
    <t>Treasury bills held by non banking sector</t>
  </si>
  <si>
    <t>M1</t>
  </si>
  <si>
    <t>M2</t>
  </si>
  <si>
    <t>M3</t>
  </si>
  <si>
    <t>Foreign assets - Net</t>
  </si>
  <si>
    <t>Foreign exchange</t>
  </si>
  <si>
    <t>Net claims on public sector</t>
  </si>
  <si>
    <t>Net claims on the public sector</t>
  </si>
  <si>
    <t>Valuation adjustments</t>
  </si>
  <si>
    <t>Claims on the private sector</t>
  </si>
  <si>
    <t>Other items net</t>
  </si>
  <si>
    <t>Total</t>
  </si>
  <si>
    <t>M4 = M3 + Treasury bills</t>
  </si>
  <si>
    <t>Total 2008</t>
  </si>
  <si>
    <t>Table 10.4 - Bank's clearing</t>
  </si>
  <si>
    <t>Table assembled by CAS</t>
  </si>
  <si>
    <t>Distribution by agency</t>
  </si>
  <si>
    <t>Number in thousands</t>
  </si>
  <si>
    <t>Beirut</t>
  </si>
  <si>
    <t>Jounieh</t>
  </si>
  <si>
    <t>Tripoli</t>
  </si>
  <si>
    <t>Saida</t>
  </si>
  <si>
    <t>Zahleh</t>
  </si>
  <si>
    <t>Tyr</t>
  </si>
  <si>
    <t>Nabatiyeh</t>
  </si>
  <si>
    <t>Billion LBP</t>
  </si>
  <si>
    <t>Values in LBP</t>
  </si>
  <si>
    <t>Values</t>
  </si>
  <si>
    <t>Thousands of clearings in USD</t>
  </si>
  <si>
    <t>Million USD</t>
  </si>
  <si>
    <t>Thousands of clearings in euros</t>
  </si>
  <si>
    <t>Million euros</t>
  </si>
  <si>
    <t>Thousands of clearings in sterling pounds</t>
  </si>
  <si>
    <t>Million Sterlings</t>
  </si>
  <si>
    <t>Table 10.5 - Treasury bills in circulation</t>
  </si>
  <si>
    <t>Treasury bonds in billion LBP</t>
  </si>
  <si>
    <t>Issue</t>
  </si>
  <si>
    <t>Public</t>
  </si>
  <si>
    <t>By subscriber</t>
  </si>
  <si>
    <t>Treasury Bills at the end of the period in billion LBP</t>
  </si>
  <si>
    <t>In circulation at the end of the period</t>
  </si>
  <si>
    <t>3 months</t>
  </si>
  <si>
    <t>6 months</t>
  </si>
  <si>
    <t>12 months</t>
  </si>
  <si>
    <t xml:space="preserve">  24 months</t>
  </si>
  <si>
    <t>Over 3 years</t>
  </si>
  <si>
    <t>By pay-day</t>
  </si>
  <si>
    <t>Special bills issed to BDL</t>
  </si>
  <si>
    <t>Banque du Liban</t>
  </si>
  <si>
    <t>Banks</t>
  </si>
  <si>
    <t>Financial Institutions</t>
  </si>
  <si>
    <t>Public administrations</t>
  </si>
  <si>
    <t>In billion LBP</t>
  </si>
  <si>
    <t>In % of total</t>
  </si>
  <si>
    <t>24 months</t>
  </si>
  <si>
    <t>36 months</t>
  </si>
  <si>
    <t>Repo rate</t>
  </si>
  <si>
    <t>Nominal rate</t>
  </si>
  <si>
    <t>Effective rate</t>
  </si>
  <si>
    <t>Coupon rate</t>
  </si>
  <si>
    <t>Foreign Bills (Medium Exchange rate in LBP)</t>
  </si>
  <si>
    <t xml:space="preserve">US Dollar </t>
  </si>
  <si>
    <t>Euro</t>
  </si>
  <si>
    <t>Sterling Pound</t>
  </si>
  <si>
    <t>Canadian Dollar</t>
  </si>
  <si>
    <t>Japanese Yen</t>
  </si>
  <si>
    <t>Swiss Franc</t>
  </si>
  <si>
    <t>Saudi Rial</t>
  </si>
  <si>
    <t>Egyptian Pound</t>
  </si>
  <si>
    <t>Emirates Dirham</t>
  </si>
  <si>
    <t>Special Drawing Rights</t>
  </si>
  <si>
    <t>Silver</t>
  </si>
  <si>
    <t>USD</t>
  </si>
  <si>
    <t>Source : Association of Banks in Lebanon</t>
  </si>
  <si>
    <t>10. FINANCIAL SECTOR</t>
  </si>
  <si>
    <t>2005-2004</t>
  </si>
  <si>
    <t>2006-2005</t>
  </si>
  <si>
    <t>2006-2007</t>
  </si>
  <si>
    <t>&lt; 5000,000</t>
  </si>
  <si>
    <t>5000,000 - 25,000,000</t>
  </si>
  <si>
    <t>25,000,000 - 100,000,000</t>
  </si>
  <si>
    <t>100,000,000 - 500,000,000</t>
  </si>
  <si>
    <t>500,000,000 - 1,000,000,000</t>
  </si>
  <si>
    <t>1,000,000,000 - 5,000,000,000</t>
  </si>
  <si>
    <t>5,000,000,000 - 10,000,000,000</t>
  </si>
  <si>
    <t>&gt; 10,000,000,000</t>
  </si>
  <si>
    <t>Table 10.6 - Primary market rates on Treasury bills, end of period in percent</t>
  </si>
  <si>
    <t>Table 10.7 - Exchange rate</t>
  </si>
  <si>
    <t>Table 10.29 - Employees' salaries and allowances in the banks</t>
  </si>
  <si>
    <t>Table 10.28 - Distribution of banks employees in Lebanon</t>
  </si>
  <si>
    <t>Table 10.32 - Beirut Stock Exchange: Value of monthly transactions - Cont.1</t>
  </si>
  <si>
    <t>Rasamny Younis Motor Co."B"</t>
  </si>
  <si>
    <t>Table 10.40 - Beirut Stock Exchange : Monthly trading averages - Cont.1</t>
  </si>
  <si>
    <t>Reimbursement</t>
  </si>
  <si>
    <t>Febraury</t>
  </si>
  <si>
    <t>Table 10.43 - MIDCLEAR</t>
  </si>
  <si>
    <t>Source:  MIDCLEAR</t>
  </si>
  <si>
    <t>Members' number</t>
  </si>
  <si>
    <t>Companies number</t>
  </si>
  <si>
    <t>Shareholders' number</t>
  </si>
  <si>
    <t>Table 10.44 - Value of traded and cleared bonds through MIDCLEAR</t>
  </si>
  <si>
    <t>Value (USD)</t>
  </si>
  <si>
    <t>Value cleared (USD)</t>
  </si>
  <si>
    <t>Management of Registrars : Market Value of Shares in USD</t>
  </si>
  <si>
    <t>Table 10.45 - MIDCLEAR: Total assets under custody in Billions USD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</si>
</sst>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</numFmts>
  <fonts count="61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.5"/>
      <name val="Times New Roman"/>
      <family val="1"/>
    </font>
    <font>
      <sz val="7.5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8"/>
      <name val="Times New Roman"/>
      <family val="1"/>
    </font>
    <font>
      <sz val="6.5"/>
      <name val="Times New Roman"/>
      <family val="1"/>
    </font>
    <font>
      <b/>
      <sz val="8"/>
      <name val="Arial"/>
      <family val="2"/>
    </font>
    <font>
      <b/>
      <sz val="6.5"/>
      <name val="Times New Roman"/>
      <family val="1"/>
    </font>
    <font>
      <b/>
      <sz val="7.5"/>
      <name val="Times New Roman"/>
      <family val="1"/>
    </font>
    <font>
      <b/>
      <sz val="10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hair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2" fillId="0" borderId="0" applyNumberFormat="0">
      <alignment horizontal="right"/>
      <protection/>
    </xf>
    <xf numFmtId="0" fontId="56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15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readingOrder="1"/>
    </xf>
    <xf numFmtId="0" fontId="11" fillId="0" borderId="0" xfId="0" applyFont="1" applyAlignment="1">
      <alignment vertical="center" readingOrder="1"/>
    </xf>
    <xf numFmtId="0" fontId="12" fillId="0" borderId="0" xfId="0" applyFont="1" applyAlignment="1">
      <alignment vertical="center" readingOrder="1"/>
    </xf>
    <xf numFmtId="0" fontId="6" fillId="0" borderId="0" xfId="0" applyFont="1" applyFill="1" applyAlignment="1">
      <alignment vertical="center" readingOrder="1"/>
    </xf>
    <xf numFmtId="0" fontId="8" fillId="0" borderId="0" xfId="0" applyFont="1" applyFill="1" applyAlignment="1">
      <alignment vertical="center" readingOrder="1"/>
    </xf>
    <xf numFmtId="0" fontId="11" fillId="0" borderId="0" xfId="0" applyFont="1" applyFill="1" applyAlignment="1">
      <alignment vertical="center" readingOrder="1"/>
    </xf>
    <xf numFmtId="0" fontId="11" fillId="0" borderId="0" xfId="0" applyFont="1" applyFill="1" applyAlignment="1">
      <alignment horizontal="center" vertical="center" readingOrder="1"/>
    </xf>
    <xf numFmtId="0" fontId="14" fillId="0" borderId="0" xfId="0" applyFont="1" applyFill="1" applyAlignment="1">
      <alignment vertical="center" readingOrder="1"/>
    </xf>
    <xf numFmtId="0" fontId="6" fillId="0" borderId="0" xfId="0" applyFont="1" applyFill="1" applyAlignment="1">
      <alignment horizontal="center" vertical="center" readingOrder="1"/>
    </xf>
    <xf numFmtId="0" fontId="6" fillId="0" borderId="0" xfId="0" applyFont="1" applyFill="1" applyBorder="1" applyAlignment="1">
      <alignment vertical="center" readingOrder="1"/>
    </xf>
    <xf numFmtId="0" fontId="6" fillId="0" borderId="0" xfId="0" applyFont="1" applyBorder="1" applyAlignment="1">
      <alignment horizontal="left" vertical="center" readingOrder="1"/>
    </xf>
    <xf numFmtId="0" fontId="10" fillId="0" borderId="0" xfId="0" applyFont="1" applyFill="1" applyAlignment="1">
      <alignment vertical="center" readingOrder="1"/>
    </xf>
    <xf numFmtId="0" fontId="6" fillId="0" borderId="0" xfId="58" applyFont="1" applyBorder="1" applyAlignment="1">
      <alignment horizontal="left" vertical="center" readingOrder="1"/>
      <protection/>
    </xf>
    <xf numFmtId="0" fontId="13" fillId="0" borderId="0" xfId="0" applyFont="1" applyFill="1" applyAlignment="1">
      <alignment horizontal="center" vertical="center" readingOrder="1"/>
    </xf>
    <xf numFmtId="0" fontId="9" fillId="0" borderId="0" xfId="0" applyFont="1" applyFill="1" applyAlignment="1">
      <alignment vertical="center" readingOrder="1"/>
    </xf>
    <xf numFmtId="0" fontId="7" fillId="0" borderId="0" xfId="0" applyFont="1" applyFill="1" applyBorder="1" applyAlignment="1">
      <alignment vertical="center" readingOrder="1"/>
    </xf>
    <xf numFmtId="0" fontId="6" fillId="0" borderId="0" xfId="0" applyFont="1" applyFill="1" applyBorder="1" applyAlignment="1">
      <alignment horizontal="center" vertical="center" readingOrder="1"/>
    </xf>
    <xf numFmtId="0" fontId="16" fillId="0" borderId="0" xfId="0" applyFont="1" applyFill="1" applyBorder="1" applyAlignment="1">
      <alignment vertical="center" textRotation="90" readingOrder="1"/>
    </xf>
    <xf numFmtId="0" fontId="18" fillId="0" borderId="0" xfId="0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vertical="center" readingOrder="1"/>
    </xf>
    <xf numFmtId="0" fontId="18" fillId="0" borderId="0" xfId="0" applyFont="1" applyFill="1" applyAlignment="1">
      <alignment vertical="center" readingOrder="1"/>
    </xf>
    <xf numFmtId="0" fontId="7" fillId="0" borderId="0" xfId="0" applyFont="1" applyFill="1" applyAlignment="1">
      <alignment horizontal="center" vertical="center" readingOrder="1"/>
    </xf>
    <xf numFmtId="0" fontId="18" fillId="0" borderId="0" xfId="0" applyFont="1" applyFill="1" applyBorder="1" applyAlignment="1">
      <alignment horizontal="center" vertical="center" wrapText="1" readingOrder="1"/>
    </xf>
    <xf numFmtId="0" fontId="0" fillId="0" borderId="0" xfId="0" applyFont="1" applyAlignment="1">
      <alignment vertical="center" readingOrder="1"/>
    </xf>
    <xf numFmtId="0" fontId="8" fillId="0" borderId="0" xfId="0" applyFont="1" applyAlignment="1">
      <alignment vertical="center" readingOrder="1"/>
    </xf>
    <xf numFmtId="0" fontId="9" fillId="0" borderId="0" xfId="0" applyFont="1" applyFill="1" applyBorder="1" applyAlignment="1">
      <alignment horizontal="center" vertical="center"/>
    </xf>
    <xf numFmtId="191" fontId="14" fillId="0" borderId="0" xfId="42" applyNumberFormat="1" applyFont="1" applyFill="1" applyAlignment="1">
      <alignment vertical="center" readingOrder="1"/>
    </xf>
    <xf numFmtId="191" fontId="6" fillId="0" borderId="0" xfId="42" applyNumberFormat="1" applyFont="1" applyFill="1" applyAlignment="1">
      <alignment vertical="center" readingOrder="1"/>
    </xf>
    <xf numFmtId="191" fontId="11" fillId="0" borderId="0" xfId="42" applyNumberFormat="1" applyFont="1" applyFill="1" applyAlignment="1">
      <alignment horizontal="center" vertical="center" readingOrder="1"/>
    </xf>
    <xf numFmtId="0" fontId="18" fillId="0" borderId="0" xfId="0" applyFont="1" applyFill="1" applyBorder="1" applyAlignment="1">
      <alignment vertical="center" readingOrder="1"/>
    </xf>
    <xf numFmtId="0" fontId="14" fillId="0" borderId="0" xfId="0" applyFont="1" applyFill="1" applyAlignment="1">
      <alignment horizontal="right" vertical="center" readingOrder="1"/>
    </xf>
    <xf numFmtId="191" fontId="0" fillId="0" borderId="0" xfId="42" applyNumberFormat="1" applyFont="1" applyAlignment="1">
      <alignment vertical="center" readingOrder="1"/>
    </xf>
    <xf numFmtId="0" fontId="16" fillId="0" borderId="0" xfId="61" applyFont="1" applyFill="1" applyBorder="1" applyAlignment="1">
      <alignment vertical="center" textRotation="90" readingOrder="1"/>
      <protection/>
    </xf>
    <xf numFmtId="0" fontId="9" fillId="0" borderId="0" xfId="0" applyFont="1" applyAlignment="1">
      <alignment vertical="center" readingOrder="1"/>
    </xf>
    <xf numFmtId="0" fontId="8" fillId="0" borderId="0" xfId="0" applyFont="1" applyFill="1" applyAlignment="1">
      <alignment vertical="center" wrapText="1" readingOrder="1"/>
    </xf>
    <xf numFmtId="0" fontId="18" fillId="0" borderId="0" xfId="0" applyFont="1" applyFill="1" applyBorder="1" applyAlignment="1">
      <alignment horizontal="center" vertical="center" textRotation="90" wrapText="1" readingOrder="1"/>
    </xf>
    <xf numFmtId="0" fontId="9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191" fontId="19" fillId="0" borderId="0" xfId="42" applyNumberFormat="1" applyFont="1" applyFill="1" applyBorder="1" applyAlignment="1">
      <alignment horizontal="right" vertical="center" readingOrder="1"/>
    </xf>
    <xf numFmtId="191" fontId="10" fillId="0" borderId="0" xfId="42" applyNumberFormat="1" applyFont="1" applyFill="1" applyBorder="1" applyAlignment="1">
      <alignment horizontal="right" vertical="center" readingOrder="1"/>
    </xf>
    <xf numFmtId="191" fontId="19" fillId="0" borderId="0" xfId="42" applyNumberFormat="1" applyFont="1" applyFill="1" applyBorder="1" applyAlignment="1">
      <alignment vertical="center" readingOrder="1"/>
    </xf>
    <xf numFmtId="0" fontId="0" fillId="0" borderId="0" xfId="0" applyFont="1" applyAlignment="1">
      <alignment vertical="center" readingOrder="1"/>
    </xf>
    <xf numFmtId="191" fontId="0" fillId="0" borderId="0" xfId="42" applyNumberFormat="1" applyFont="1" applyAlignment="1">
      <alignment vertical="center" readingOrder="1"/>
    </xf>
    <xf numFmtId="0" fontId="25" fillId="0" borderId="0" xfId="0" applyFont="1" applyAlignment="1">
      <alignment vertical="center" readingOrder="1"/>
    </xf>
    <xf numFmtId="0" fontId="1" fillId="0" borderId="0" xfId="0" applyFont="1" applyAlignment="1">
      <alignment vertical="center" readingOrder="1"/>
    </xf>
    <xf numFmtId="0" fontId="0" fillId="0" borderId="0" xfId="0" applyFont="1" applyAlignment="1">
      <alignment vertical="center" readingOrder="1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10" fillId="0" borderId="0" xfId="42" applyNumberFormat="1" applyFont="1" applyFill="1" applyBorder="1" applyAlignment="1">
      <alignment horizontal="right" vertical="center" readingOrder="1"/>
    </xf>
    <xf numFmtId="0" fontId="6" fillId="0" borderId="0" xfId="0" applyFont="1" applyFill="1" applyAlignment="1">
      <alignment vertical="center" readingOrder="1"/>
    </xf>
    <xf numFmtId="0" fontId="8" fillId="0" borderId="0" xfId="0" applyFont="1" applyFill="1" applyAlignment="1">
      <alignment horizontal="left" vertical="center" wrapText="1" readingOrder="1"/>
    </xf>
    <xf numFmtId="0" fontId="18" fillId="0" borderId="10" xfId="59" applyFont="1" applyFill="1" applyBorder="1" applyAlignment="1">
      <alignment horizontal="center" vertical="center" wrapText="1" readingOrder="1"/>
      <protection/>
    </xf>
    <xf numFmtId="0" fontId="18" fillId="0" borderId="11" xfId="59" applyFont="1" applyFill="1" applyBorder="1" applyAlignment="1">
      <alignment horizontal="center" vertical="center" wrapText="1" readingOrder="1"/>
      <protection/>
    </xf>
    <xf numFmtId="0" fontId="7" fillId="0" borderId="0" xfId="0" applyFont="1" applyFill="1" applyAlignment="1">
      <alignment horizontal="left" vertical="center" readingOrder="1"/>
    </xf>
    <xf numFmtId="0" fontId="18" fillId="0" borderId="0" xfId="0" applyFont="1" applyFill="1" applyAlignment="1">
      <alignment horizontal="left" vertical="center" readingOrder="1"/>
    </xf>
    <xf numFmtId="0" fontId="18" fillId="0" borderId="10" xfId="59" applyFont="1" applyFill="1" applyBorder="1" applyAlignment="1">
      <alignment horizontal="left" vertical="center" wrapText="1" readingOrder="1"/>
      <protection/>
    </xf>
    <xf numFmtId="0" fontId="7" fillId="0" borderId="0" xfId="0" applyFont="1" applyFill="1" applyAlignment="1">
      <alignment horizontal="left" vertical="center" wrapText="1" readingOrder="1"/>
    </xf>
    <xf numFmtId="37" fontId="10" fillId="0" borderId="12" xfId="42" applyNumberFormat="1" applyFont="1" applyFill="1" applyBorder="1" applyAlignment="1">
      <alignment horizontal="right" vertical="center" readingOrder="1"/>
    </xf>
    <xf numFmtId="0" fontId="7" fillId="0" borderId="13" xfId="59" applyFont="1" applyFill="1" applyBorder="1" applyAlignment="1">
      <alignment horizontal="left" vertical="center" wrapText="1" readingOrder="1"/>
      <protection/>
    </xf>
    <xf numFmtId="0" fontId="18" fillId="0" borderId="13" xfId="59" applyFont="1" applyFill="1" applyBorder="1" applyAlignment="1">
      <alignment horizontal="left" vertical="center" wrapText="1" readingOrder="1"/>
      <protection/>
    </xf>
    <xf numFmtId="37" fontId="19" fillId="0" borderId="12" xfId="42" applyNumberFormat="1" applyFont="1" applyFill="1" applyBorder="1" applyAlignment="1">
      <alignment horizontal="right" vertical="center" readingOrder="1"/>
    </xf>
    <xf numFmtId="3" fontId="19" fillId="0" borderId="12" xfId="42" applyNumberFormat="1" applyFont="1" applyFill="1" applyBorder="1" applyAlignment="1">
      <alignment horizontal="right" vertical="center" readingOrder="1"/>
    </xf>
    <xf numFmtId="37" fontId="19" fillId="0" borderId="14" xfId="42" applyNumberFormat="1" applyFont="1" applyFill="1" applyBorder="1" applyAlignment="1">
      <alignment horizontal="right" vertical="center" readingOrder="1"/>
    </xf>
    <xf numFmtId="0" fontId="9" fillId="0" borderId="15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 textRotation="90" wrapText="1" readingOrder="1"/>
    </xf>
    <xf numFmtId="0" fontId="7" fillId="0" borderId="16" xfId="59" applyFont="1" applyFill="1" applyBorder="1" applyAlignment="1">
      <alignment horizontal="left" vertical="center" readingOrder="1"/>
      <protection/>
    </xf>
    <xf numFmtId="37" fontId="10" fillId="0" borderId="17" xfId="42" applyNumberFormat="1" applyFont="1" applyFill="1" applyBorder="1" applyAlignment="1">
      <alignment horizontal="right" vertical="center" readingOrder="1"/>
    </xf>
    <xf numFmtId="191" fontId="19" fillId="0" borderId="15" xfId="42" applyNumberFormat="1" applyFont="1" applyFill="1" applyBorder="1" applyAlignment="1">
      <alignment horizontal="right" vertical="center" readingOrder="1"/>
    </xf>
    <xf numFmtId="37" fontId="19" fillId="0" borderId="17" xfId="42" applyNumberFormat="1" applyFont="1" applyFill="1" applyBorder="1" applyAlignment="1">
      <alignment horizontal="right" vertical="center" readingOrder="1"/>
    </xf>
    <xf numFmtId="0" fontId="7" fillId="0" borderId="18" xfId="59" applyFont="1" applyFill="1" applyBorder="1" applyAlignment="1">
      <alignment horizontal="left" vertical="center" wrapText="1" readingOrder="1"/>
      <protection/>
    </xf>
    <xf numFmtId="37" fontId="10" fillId="0" borderId="14" xfId="42" applyNumberFormat="1" applyFont="1" applyFill="1" applyBorder="1" applyAlignment="1">
      <alignment horizontal="right" vertical="center" readingOrder="1"/>
    </xf>
    <xf numFmtId="0" fontId="18" fillId="0" borderId="19" xfId="59" applyFont="1" applyFill="1" applyBorder="1" applyAlignment="1">
      <alignment horizontal="left" vertical="center" wrapText="1" readingOrder="1"/>
      <protection/>
    </xf>
    <xf numFmtId="37" fontId="19" fillId="0" borderId="20" xfId="42" applyNumberFormat="1" applyFont="1" applyFill="1" applyBorder="1" applyAlignment="1">
      <alignment horizontal="right" vertical="center" readingOrder="1"/>
    </xf>
    <xf numFmtId="37" fontId="19" fillId="0" borderId="15" xfId="42" applyNumberFormat="1" applyFont="1" applyFill="1" applyBorder="1" applyAlignment="1">
      <alignment horizontal="right" vertical="center" readingOrder="1"/>
    </xf>
    <xf numFmtId="37" fontId="19" fillId="0" borderId="21" xfId="42" applyNumberFormat="1" applyFont="1" applyFill="1" applyBorder="1" applyAlignment="1">
      <alignment horizontal="right" vertical="center" readingOrder="1"/>
    </xf>
    <xf numFmtId="0" fontId="18" fillId="0" borderId="22" xfId="59" applyFont="1" applyFill="1" applyBorder="1" applyAlignment="1">
      <alignment horizontal="left" vertical="center" wrapText="1" readingOrder="1"/>
      <protection/>
    </xf>
    <xf numFmtId="37" fontId="19" fillId="0" borderId="23" xfId="42" applyNumberFormat="1" applyFont="1" applyFill="1" applyBorder="1" applyAlignment="1">
      <alignment horizontal="right" vertical="center" readingOrder="1"/>
    </xf>
    <xf numFmtId="37" fontId="19" fillId="0" borderId="23" xfId="42" applyNumberFormat="1" applyFont="1" applyFill="1" applyBorder="1" applyAlignment="1">
      <alignment vertical="center" readingOrder="1"/>
    </xf>
    <xf numFmtId="37" fontId="19" fillId="0" borderId="12" xfId="42" applyNumberFormat="1" applyFont="1" applyFill="1" applyBorder="1" applyAlignment="1">
      <alignment vertical="center" readingOrder="1"/>
    </xf>
    <xf numFmtId="37" fontId="19" fillId="0" borderId="20" xfId="42" applyNumberFormat="1" applyFont="1" applyFill="1" applyBorder="1" applyAlignment="1">
      <alignment vertical="center" readingOrder="1"/>
    </xf>
    <xf numFmtId="37" fontId="19" fillId="0" borderId="15" xfId="42" applyNumberFormat="1" applyFont="1" applyFill="1" applyBorder="1" applyAlignment="1">
      <alignment vertical="center" readingOrder="1"/>
    </xf>
    <xf numFmtId="0" fontId="7" fillId="0" borderId="16" xfId="59" applyFont="1" applyFill="1" applyBorder="1" applyAlignment="1">
      <alignment horizontal="left" vertical="center" wrapText="1" readingOrder="1"/>
      <protection/>
    </xf>
    <xf numFmtId="0" fontId="7" fillId="0" borderId="19" xfId="59" applyFont="1" applyFill="1" applyBorder="1" applyAlignment="1">
      <alignment horizontal="left" vertical="center" wrapText="1" readingOrder="1"/>
      <protection/>
    </xf>
    <xf numFmtId="0" fontId="0" fillId="0" borderId="0" xfId="0" applyFont="1" applyFill="1" applyAlignment="1">
      <alignment vertical="center" readingOrder="1"/>
    </xf>
    <xf numFmtId="0" fontId="0" fillId="0" borderId="0" xfId="0" applyFont="1" applyFill="1" applyBorder="1" applyAlignment="1">
      <alignment vertical="center" readingOrder="1"/>
    </xf>
    <xf numFmtId="0" fontId="18" fillId="0" borderId="10" xfId="0" applyFont="1" applyFill="1" applyBorder="1" applyAlignment="1">
      <alignment horizontal="center" vertical="center" wrapText="1" readingOrder="1"/>
    </xf>
    <xf numFmtId="0" fontId="18" fillId="0" borderId="10" xfId="60" applyFont="1" applyFill="1" applyBorder="1" applyAlignment="1">
      <alignment horizontal="center" vertical="center" wrapText="1" readingOrder="1"/>
      <protection/>
    </xf>
    <xf numFmtId="191" fontId="0" fillId="0" borderId="0" xfId="42" applyNumberFormat="1" applyFont="1" applyFill="1" applyAlignment="1">
      <alignment vertical="center" readingOrder="1"/>
    </xf>
    <xf numFmtId="0" fontId="18" fillId="0" borderId="10" xfId="0" applyFont="1" applyFill="1" applyBorder="1" applyAlignment="1">
      <alignment horizontal="left" vertical="center" wrapText="1" readingOrder="1"/>
    </xf>
    <xf numFmtId="0" fontId="7" fillId="0" borderId="13" xfId="60" applyFont="1" applyFill="1" applyBorder="1" applyAlignment="1">
      <alignment horizontal="left" vertical="center" wrapText="1" readingOrder="1"/>
      <protection/>
    </xf>
    <xf numFmtId="0" fontId="7" fillId="0" borderId="18" xfId="60" applyFont="1" applyFill="1" applyBorder="1" applyAlignment="1">
      <alignment horizontal="left" vertical="center" wrapText="1" readingOrder="1"/>
      <protection/>
    </xf>
    <xf numFmtId="0" fontId="7" fillId="0" borderId="22" xfId="0" applyFont="1" applyFill="1" applyBorder="1" applyAlignment="1">
      <alignment horizontal="left" vertical="center" wrapText="1" readingOrder="1"/>
    </xf>
    <xf numFmtId="0" fontId="7" fillId="0" borderId="16" xfId="60" applyFont="1" applyFill="1" applyBorder="1" applyAlignment="1">
      <alignment horizontal="left" vertical="center" wrapText="1" readingOrder="1"/>
      <protection/>
    </xf>
    <xf numFmtId="0" fontId="18" fillId="0" borderId="10" xfId="60" applyFont="1" applyFill="1" applyBorder="1" applyAlignment="1">
      <alignment horizontal="left" vertical="center" wrapText="1" readingOrder="1"/>
      <protection/>
    </xf>
    <xf numFmtId="0" fontId="7" fillId="0" borderId="13" xfId="0" applyFont="1" applyFill="1" applyBorder="1" applyAlignment="1">
      <alignment horizontal="left" vertical="center" wrapText="1" readingOrder="1"/>
    </xf>
    <xf numFmtId="0" fontId="7" fillId="0" borderId="18" xfId="0" applyFont="1" applyFill="1" applyBorder="1" applyAlignment="1">
      <alignment horizontal="left" vertical="center" wrapText="1" readingOrder="1"/>
    </xf>
    <xf numFmtId="0" fontId="7" fillId="0" borderId="16" xfId="0" applyFont="1" applyFill="1" applyBorder="1" applyAlignment="1">
      <alignment horizontal="left" vertical="center" wrapText="1" readingOrder="1"/>
    </xf>
    <xf numFmtId="0" fontId="7" fillId="0" borderId="18" xfId="60" applyFont="1" applyFill="1" applyBorder="1" applyAlignment="1">
      <alignment horizontal="center" vertical="center" wrapText="1" readingOrder="1"/>
      <protection/>
    </xf>
    <xf numFmtId="0" fontId="7" fillId="0" borderId="16" xfId="60" applyFont="1" applyFill="1" applyBorder="1" applyAlignment="1">
      <alignment horizontal="center" vertical="center" wrapText="1" readingOrder="1"/>
      <protection/>
    </xf>
    <xf numFmtId="0" fontId="12" fillId="0" borderId="0" xfId="0" applyFont="1" applyFill="1" applyAlignment="1">
      <alignment vertical="center" readingOrder="1"/>
    </xf>
    <xf numFmtId="0" fontId="18" fillId="0" borderId="0" xfId="0" applyFont="1" applyFill="1" applyBorder="1" applyAlignment="1">
      <alignment horizontal="left" vertical="center" readingOrder="1"/>
    </xf>
    <xf numFmtId="0" fontId="7" fillId="0" borderId="13" xfId="61" applyFont="1" applyFill="1" applyBorder="1" applyAlignment="1">
      <alignment horizontal="left" vertical="center" wrapText="1" readingOrder="1"/>
      <protection/>
    </xf>
    <xf numFmtId="3" fontId="10" fillId="0" borderId="12" xfId="42" applyNumberFormat="1" applyFont="1" applyFill="1" applyBorder="1" applyAlignment="1">
      <alignment horizontal="right" vertical="center" readingOrder="1"/>
    </xf>
    <xf numFmtId="0" fontId="7" fillId="0" borderId="18" xfId="61" applyFont="1" applyFill="1" applyBorder="1" applyAlignment="1">
      <alignment horizontal="left" vertical="center" wrapText="1" readingOrder="1"/>
      <protection/>
    </xf>
    <xf numFmtId="3" fontId="10" fillId="0" borderId="14" xfId="42" applyNumberFormat="1" applyFont="1" applyFill="1" applyBorder="1" applyAlignment="1">
      <alignment horizontal="right" vertical="center" readingOrder="1"/>
    </xf>
    <xf numFmtId="0" fontId="7" fillId="0" borderId="16" xfId="61" applyFont="1" applyFill="1" applyBorder="1" applyAlignment="1">
      <alignment horizontal="left" vertical="center" wrapText="1" readingOrder="1"/>
      <protection/>
    </xf>
    <xf numFmtId="3" fontId="10" fillId="0" borderId="17" xfId="42" applyNumberFormat="1" applyFont="1" applyFill="1" applyBorder="1" applyAlignment="1">
      <alignment horizontal="right" vertical="center" readingOrder="1"/>
    </xf>
    <xf numFmtId="0" fontId="18" fillId="0" borderId="10" xfId="61" applyFont="1" applyFill="1" applyBorder="1" applyAlignment="1">
      <alignment horizontal="left" vertical="center" wrapText="1" readingOrder="1"/>
      <protection/>
    </xf>
    <xf numFmtId="3" fontId="19" fillId="0" borderId="15" xfId="42" applyNumberFormat="1" applyFont="1" applyFill="1" applyBorder="1" applyAlignment="1">
      <alignment horizontal="right" vertical="center" readingOrder="1"/>
    </xf>
    <xf numFmtId="0" fontId="7" fillId="0" borderId="10" xfId="61" applyFont="1" applyFill="1" applyBorder="1" applyAlignment="1">
      <alignment horizontal="left" vertical="center" wrapText="1" readingOrder="1"/>
      <protection/>
    </xf>
    <xf numFmtId="3" fontId="10" fillId="0" borderId="15" xfId="42" applyNumberFormat="1" applyFont="1" applyFill="1" applyBorder="1" applyAlignment="1">
      <alignment horizontal="right" vertical="center" readingOrder="1"/>
    </xf>
    <xf numFmtId="3" fontId="14" fillId="0" borderId="14" xfId="0" applyNumberFormat="1" applyFont="1" applyFill="1" applyBorder="1" applyAlignment="1">
      <alignment vertical="center" readingOrder="1"/>
    </xf>
    <xf numFmtId="3" fontId="14" fillId="0" borderId="17" xfId="0" applyNumberFormat="1" applyFont="1" applyFill="1" applyBorder="1" applyAlignment="1">
      <alignment vertical="center" readingOrder="1"/>
    </xf>
    <xf numFmtId="3" fontId="24" fillId="0" borderId="15" xfId="0" applyNumberFormat="1" applyFont="1" applyFill="1" applyBorder="1" applyAlignment="1">
      <alignment vertical="center" readingOrder="1"/>
    </xf>
    <xf numFmtId="0" fontId="18" fillId="0" borderId="10" xfId="0" applyFont="1" applyFill="1" applyBorder="1" applyAlignment="1">
      <alignment horizontal="left" vertical="center" readingOrder="1"/>
    </xf>
    <xf numFmtId="0" fontId="9" fillId="0" borderId="15" xfId="0" applyFont="1" applyFill="1" applyBorder="1" applyAlignment="1">
      <alignment horizontal="center" vertical="center" readingOrder="1"/>
    </xf>
    <xf numFmtId="0" fontId="18" fillId="0" borderId="10" xfId="61" applyFont="1" applyFill="1" applyBorder="1" applyAlignment="1">
      <alignment horizontal="center" vertical="center" wrapText="1" readingOrder="1"/>
      <protection/>
    </xf>
    <xf numFmtId="0" fontId="6" fillId="0" borderId="0" xfId="0" applyFont="1" applyBorder="1" applyAlignment="1">
      <alignment horizontal="right" vertical="center" readingOrder="1"/>
    </xf>
    <xf numFmtId="0" fontId="6" fillId="0" borderId="0" xfId="0" applyFont="1" applyFill="1" applyBorder="1" applyAlignment="1">
      <alignment vertical="center" readingOrder="1"/>
    </xf>
    <xf numFmtId="39" fontId="10" fillId="0" borderId="12" xfId="42" applyNumberFormat="1" applyFont="1" applyFill="1" applyBorder="1" applyAlignment="1">
      <alignment horizontal="right" vertical="center" readingOrder="1"/>
    </xf>
    <xf numFmtId="3" fontId="19" fillId="0" borderId="24" xfId="0" applyNumberFormat="1" applyFont="1" applyFill="1" applyBorder="1" applyAlignment="1">
      <alignment vertical="center" readingOrder="1"/>
    </xf>
    <xf numFmtId="39" fontId="10" fillId="0" borderId="14" xfId="42" applyNumberFormat="1" applyFont="1" applyFill="1" applyBorder="1" applyAlignment="1">
      <alignment horizontal="right" vertical="center" readingOrder="1"/>
    </xf>
    <xf numFmtId="3" fontId="19" fillId="0" borderId="25" xfId="0" applyNumberFormat="1" applyFont="1" applyFill="1" applyBorder="1" applyAlignment="1">
      <alignment vertical="center" readingOrder="1"/>
    </xf>
    <xf numFmtId="39" fontId="10" fillId="0" borderId="17" xfId="42" applyNumberFormat="1" applyFont="1" applyFill="1" applyBorder="1" applyAlignment="1">
      <alignment horizontal="right" vertical="center" readingOrder="1"/>
    </xf>
    <xf numFmtId="3" fontId="19" fillId="0" borderId="26" xfId="0" applyNumberFormat="1" applyFont="1" applyFill="1" applyBorder="1" applyAlignment="1">
      <alignment vertical="center" readingOrder="1"/>
    </xf>
    <xf numFmtId="3" fontId="19" fillId="0" borderId="27" xfId="0" applyNumberFormat="1" applyFont="1" applyFill="1" applyBorder="1" applyAlignment="1">
      <alignment vertical="center" readingOrder="1"/>
    </xf>
    <xf numFmtId="3" fontId="19" fillId="0" borderId="12" xfId="0" applyNumberFormat="1" applyFont="1" applyFill="1" applyBorder="1" applyAlignment="1">
      <alignment vertical="center" readingOrder="1"/>
    </xf>
    <xf numFmtId="3" fontId="19" fillId="0" borderId="14" xfId="0" applyNumberFormat="1" applyFont="1" applyFill="1" applyBorder="1" applyAlignment="1">
      <alignment vertical="center" readingOrder="1"/>
    </xf>
    <xf numFmtId="3" fontId="19" fillId="0" borderId="17" xfId="0" applyNumberFormat="1" applyFont="1" applyFill="1" applyBorder="1" applyAlignment="1">
      <alignment vertical="center" readingOrder="1"/>
    </xf>
    <xf numFmtId="3" fontId="19" fillId="0" borderId="15" xfId="0" applyNumberFormat="1" applyFont="1" applyFill="1" applyBorder="1" applyAlignment="1">
      <alignment vertical="center" readingOrder="1"/>
    </xf>
    <xf numFmtId="0" fontId="7" fillId="0" borderId="13" xfId="61" applyFont="1" applyFill="1" applyBorder="1" applyAlignment="1">
      <alignment horizontal="left" vertical="center" readingOrder="1"/>
      <protection/>
    </xf>
    <xf numFmtId="0" fontId="7" fillId="0" borderId="18" xfId="61" applyFont="1" applyFill="1" applyBorder="1" applyAlignment="1">
      <alignment horizontal="left" vertical="center" readingOrder="1"/>
      <protection/>
    </xf>
    <xf numFmtId="0" fontId="7" fillId="0" borderId="22" xfId="61" applyFont="1" applyFill="1" applyBorder="1" applyAlignment="1">
      <alignment horizontal="center" vertical="center" wrapText="1" readingOrder="1"/>
      <protection/>
    </xf>
    <xf numFmtId="197" fontId="10" fillId="0" borderId="23" xfId="42" applyNumberFormat="1" applyFont="1" applyFill="1" applyBorder="1" applyAlignment="1">
      <alignment horizontal="right" vertical="center" readingOrder="1"/>
    </xf>
    <xf numFmtId="3" fontId="19" fillId="0" borderId="23" xfId="0" applyNumberFormat="1" applyFont="1" applyFill="1" applyBorder="1" applyAlignment="1">
      <alignment horizontal="right" vertical="center" readingOrder="1"/>
    </xf>
    <xf numFmtId="0" fontId="7" fillId="0" borderId="18" xfId="61" applyFont="1" applyFill="1" applyBorder="1" applyAlignment="1">
      <alignment horizontal="center" vertical="center" wrapText="1" readingOrder="1"/>
      <protection/>
    </xf>
    <xf numFmtId="197" fontId="10" fillId="0" borderId="14" xfId="0" applyNumberFormat="1" applyFont="1" applyFill="1" applyBorder="1" applyAlignment="1">
      <alignment horizontal="center" vertical="center" readingOrder="1"/>
    </xf>
    <xf numFmtId="3" fontId="19" fillId="0" borderId="14" xfId="0" applyNumberFormat="1" applyFont="1" applyFill="1" applyBorder="1" applyAlignment="1">
      <alignment horizontal="right" vertical="center" readingOrder="1"/>
    </xf>
    <xf numFmtId="197" fontId="10" fillId="0" borderId="23" xfId="0" applyNumberFormat="1" applyFont="1" applyFill="1" applyBorder="1" applyAlignment="1">
      <alignment horizontal="center" vertical="center" readingOrder="1"/>
    </xf>
    <xf numFmtId="0" fontId="7" fillId="0" borderId="22" xfId="61" applyFont="1" applyFill="1" applyBorder="1" applyAlignment="1">
      <alignment horizontal="left" vertical="center" wrapText="1" readingOrder="1"/>
      <protection/>
    </xf>
    <xf numFmtId="0" fontId="18" fillId="0" borderId="15" xfId="62" applyFont="1" applyFill="1" applyBorder="1" applyAlignment="1">
      <alignment horizontal="center" vertical="center" wrapText="1" readingOrder="1"/>
      <protection/>
    </xf>
    <xf numFmtId="3" fontId="10" fillId="0" borderId="23" xfId="42" applyNumberFormat="1" applyFont="1" applyFill="1" applyBorder="1" applyAlignment="1">
      <alignment horizontal="right" vertical="center" readingOrder="1"/>
    </xf>
    <xf numFmtId="197" fontId="10" fillId="0" borderId="14" xfId="42" applyNumberFormat="1" applyFont="1" applyFill="1" applyBorder="1" applyAlignment="1">
      <alignment horizontal="right" vertical="center" readingOrder="1"/>
    </xf>
    <xf numFmtId="172" fontId="10" fillId="0" borderId="20" xfId="42" applyNumberFormat="1" applyFont="1" applyFill="1" applyBorder="1" applyAlignment="1">
      <alignment horizontal="right" vertical="center" readingOrder="1"/>
    </xf>
    <xf numFmtId="0" fontId="18" fillId="0" borderId="28" xfId="0" applyFont="1" applyFill="1" applyBorder="1" applyAlignment="1">
      <alignment horizontal="center" vertical="center" wrapText="1" readingOrder="1"/>
    </xf>
    <xf numFmtId="0" fontId="18" fillId="0" borderId="15" xfId="0" applyFont="1" applyFill="1" applyBorder="1" applyAlignment="1">
      <alignment horizontal="center" vertical="center" wrapText="1" readingOrder="1"/>
    </xf>
    <xf numFmtId="2" fontId="10" fillId="0" borderId="23" xfId="0" applyNumberFormat="1" applyFont="1" applyBorder="1" applyAlignment="1">
      <alignment horizontal="right" vertical="center" readingOrder="1"/>
    </xf>
    <xf numFmtId="2" fontId="10" fillId="0" borderId="14" xfId="0" applyNumberFormat="1" applyFont="1" applyBorder="1" applyAlignment="1">
      <alignment horizontal="right" vertical="center" readingOrder="1"/>
    </xf>
    <xf numFmtId="2" fontId="10" fillId="0" borderId="15" xfId="0" applyNumberFormat="1" applyFont="1" applyBorder="1" applyAlignment="1">
      <alignment horizontal="right" vertical="center" readingOrder="1"/>
    </xf>
    <xf numFmtId="4" fontId="10" fillId="0" borderId="23" xfId="0" applyNumberFormat="1" applyFont="1" applyFill="1" applyBorder="1" applyAlignment="1">
      <alignment vertical="center" readingOrder="1"/>
    </xf>
    <xf numFmtId="4" fontId="10" fillId="0" borderId="12" xfId="0" applyNumberFormat="1" applyFont="1" applyFill="1" applyBorder="1" applyAlignment="1">
      <alignment vertical="center" readingOrder="1"/>
    </xf>
    <xf numFmtId="4" fontId="10" fillId="0" borderId="12" xfId="0" applyNumberFormat="1" applyFont="1" applyBorder="1" applyAlignment="1">
      <alignment vertical="center" readingOrder="1"/>
    </xf>
    <xf numFmtId="4" fontId="10" fillId="0" borderId="12" xfId="42" applyNumberFormat="1" applyFont="1" applyFill="1" applyBorder="1" applyAlignment="1">
      <alignment vertical="center" readingOrder="1"/>
    </xf>
    <xf numFmtId="4" fontId="10" fillId="0" borderId="14" xfId="42" applyNumberFormat="1" applyFont="1" applyFill="1" applyBorder="1" applyAlignment="1">
      <alignment vertical="center" readingOrder="1"/>
    </xf>
    <xf numFmtId="0" fontId="7" fillId="0" borderId="23" xfId="62" applyFont="1" applyFill="1" applyBorder="1" applyAlignment="1">
      <alignment horizontal="left" vertical="center" wrapText="1" readingOrder="1"/>
      <protection/>
    </xf>
    <xf numFmtId="0" fontId="7" fillId="0" borderId="14" xfId="62" applyFont="1" applyFill="1" applyBorder="1" applyAlignment="1">
      <alignment horizontal="left" vertical="center" wrapText="1" readingOrder="1"/>
      <protection/>
    </xf>
    <xf numFmtId="0" fontId="7" fillId="0" borderId="22" xfId="62" applyFont="1" applyFill="1" applyBorder="1" applyAlignment="1">
      <alignment horizontal="left" vertical="center" wrapText="1" readingOrder="1"/>
      <protection/>
    </xf>
    <xf numFmtId="0" fontId="7" fillId="0" borderId="13" xfId="62" applyFont="1" applyFill="1" applyBorder="1" applyAlignment="1">
      <alignment horizontal="left" vertical="center" wrapText="1" readingOrder="1"/>
      <protection/>
    </xf>
    <xf numFmtId="0" fontId="7" fillId="0" borderId="18" xfId="62" applyFont="1" applyFill="1" applyBorder="1" applyAlignment="1">
      <alignment horizontal="left" vertical="center" wrapText="1" readingOrder="1"/>
      <protection/>
    </xf>
    <xf numFmtId="0" fontId="7" fillId="0" borderId="19" xfId="62" applyFont="1" applyFill="1" applyBorder="1" applyAlignment="1">
      <alignment horizontal="left" vertical="center" wrapText="1" readingOrder="1"/>
      <protection/>
    </xf>
    <xf numFmtId="191" fontId="7" fillId="0" borderId="0" xfId="42" applyNumberFormat="1" applyFont="1" applyFill="1" applyAlignment="1">
      <alignment horizontal="left" vertical="center" readingOrder="1"/>
    </xf>
    <xf numFmtId="0" fontId="8" fillId="0" borderId="0" xfId="0" applyFont="1" applyFill="1" applyAlignment="1">
      <alignment horizontal="left" vertical="center" readingOrder="1"/>
    </xf>
    <xf numFmtId="0" fontId="7" fillId="0" borderId="10" xfId="0" applyFont="1" applyFill="1" applyBorder="1" applyAlignment="1">
      <alignment horizontal="left" vertical="center" wrapText="1" readingOrder="1"/>
    </xf>
    <xf numFmtId="0" fontId="11" fillId="0" borderId="22" xfId="62" applyFont="1" applyFill="1" applyBorder="1" applyAlignment="1">
      <alignment horizontal="left" vertical="center" wrapText="1" readingOrder="1"/>
      <protection/>
    </xf>
    <xf numFmtId="0" fontId="11" fillId="0" borderId="13" xfId="62" applyFont="1" applyFill="1" applyBorder="1" applyAlignment="1">
      <alignment horizontal="left" vertical="center" wrapText="1" readingOrder="1"/>
      <protection/>
    </xf>
    <xf numFmtId="0" fontId="11" fillId="0" borderId="18" xfId="62" applyFont="1" applyFill="1" applyBorder="1" applyAlignment="1">
      <alignment horizontal="left" vertical="center" wrapText="1" readingOrder="1"/>
      <protection/>
    </xf>
    <xf numFmtId="0" fontId="18" fillId="0" borderId="23" xfId="0" applyFont="1" applyFill="1" applyBorder="1" applyAlignment="1">
      <alignment horizontal="center" vertical="center" wrapText="1" readingOrder="1"/>
    </xf>
    <xf numFmtId="0" fontId="7" fillId="0" borderId="17" xfId="62" applyFont="1" applyFill="1" applyBorder="1" applyAlignment="1">
      <alignment horizontal="left" vertical="center" wrapText="1" readingOrder="1"/>
      <protection/>
    </xf>
    <xf numFmtId="185" fontId="10" fillId="0" borderId="15" xfId="0" applyNumberFormat="1" applyFont="1" applyFill="1" applyBorder="1" applyAlignment="1">
      <alignment vertical="center" readingOrder="1"/>
    </xf>
    <xf numFmtId="10" fontId="10" fillId="0" borderId="15" xfId="0" applyNumberFormat="1" applyFont="1" applyFill="1" applyBorder="1" applyAlignment="1">
      <alignment vertical="center" readingOrder="1"/>
    </xf>
    <xf numFmtId="37" fontId="10" fillId="0" borderId="15" xfId="42" applyNumberFormat="1" applyFont="1" applyFill="1" applyBorder="1" applyAlignment="1">
      <alignment vertical="center" readingOrder="1"/>
    </xf>
    <xf numFmtId="0" fontId="10" fillId="0" borderId="23" xfId="42" applyNumberFormat="1" applyFont="1" applyFill="1" applyBorder="1" applyAlignment="1">
      <alignment horizontal="right" vertical="center" readingOrder="1"/>
    </xf>
    <xf numFmtId="0" fontId="10" fillId="0" borderId="12" xfId="42" applyNumberFormat="1" applyFont="1" applyFill="1" applyBorder="1" applyAlignment="1">
      <alignment horizontal="right" vertical="center" readingOrder="1"/>
    </xf>
    <xf numFmtId="0" fontId="10" fillId="0" borderId="14" xfId="42" applyNumberFormat="1" applyFont="1" applyFill="1" applyBorder="1" applyAlignment="1">
      <alignment horizontal="right" vertical="center" readingOrder="1"/>
    </xf>
    <xf numFmtId="0" fontId="19" fillId="0" borderId="15" xfId="42" applyNumberFormat="1" applyFont="1" applyFill="1" applyBorder="1" applyAlignment="1">
      <alignment horizontal="right" vertical="center" readingOrder="1"/>
    </xf>
    <xf numFmtId="172" fontId="19" fillId="0" borderId="15" xfId="42" applyNumberFormat="1" applyFont="1" applyFill="1" applyBorder="1" applyAlignment="1">
      <alignment horizontal="right" vertical="center" readingOrder="1"/>
    </xf>
    <xf numFmtId="0" fontId="10" fillId="0" borderId="12" xfId="0" applyFont="1" applyBorder="1" applyAlignment="1">
      <alignment vertical="center" readingOrder="1"/>
    </xf>
    <xf numFmtId="0" fontId="10" fillId="0" borderId="14" xfId="0" applyFont="1" applyBorder="1" applyAlignment="1">
      <alignment vertical="center" readingOrder="1"/>
    </xf>
    <xf numFmtId="0" fontId="26" fillId="0" borderId="14" xfId="0" applyFont="1" applyBorder="1" applyAlignment="1">
      <alignment vertical="center" readingOrder="1"/>
    </xf>
    <xf numFmtId="0" fontId="18" fillId="0" borderId="29" xfId="0" applyFont="1" applyFill="1" applyBorder="1" applyAlignment="1">
      <alignment horizontal="center" vertical="center" wrapText="1" readingOrder="1"/>
    </xf>
    <xf numFmtId="0" fontId="18" fillId="0" borderId="30" xfId="0" applyFont="1" applyFill="1" applyBorder="1" applyAlignment="1">
      <alignment horizontal="center" vertical="center" wrapText="1" readingOrder="1"/>
    </xf>
    <xf numFmtId="0" fontId="18" fillId="0" borderId="31" xfId="0" applyFont="1" applyFill="1" applyBorder="1" applyAlignment="1">
      <alignment horizontal="center" vertical="center" wrapText="1" readingOrder="1"/>
    </xf>
    <xf numFmtId="0" fontId="7" fillId="0" borderId="22" xfId="0" applyFont="1" applyFill="1" applyBorder="1" applyAlignment="1">
      <alignment horizontal="center" vertical="center" wrapText="1" readingOrder="1"/>
    </xf>
    <xf numFmtId="0" fontId="7" fillId="0" borderId="18" xfId="0" applyFont="1" applyFill="1" applyBorder="1" applyAlignment="1">
      <alignment horizontal="center" vertical="center" wrapText="1" readingOrder="1"/>
    </xf>
    <xf numFmtId="0" fontId="7" fillId="0" borderId="23" xfId="0" applyFont="1" applyFill="1" applyBorder="1" applyAlignment="1">
      <alignment horizontal="left" vertical="center" wrapText="1" readingOrder="1"/>
    </xf>
    <xf numFmtId="0" fontId="7" fillId="0" borderId="12" xfId="0" applyFont="1" applyFill="1" applyBorder="1" applyAlignment="1">
      <alignment horizontal="left" vertical="center" wrapText="1" readingOrder="1"/>
    </xf>
    <xf numFmtId="0" fontId="7" fillId="0" borderId="14" xfId="0" applyFont="1" applyFill="1" applyBorder="1" applyAlignment="1">
      <alignment horizontal="left" vertical="center" wrapText="1" readingOrder="1"/>
    </xf>
    <xf numFmtId="0" fontId="7" fillId="0" borderId="20" xfId="0" applyFont="1" applyFill="1" applyBorder="1" applyAlignment="1">
      <alignment horizontal="left" vertical="center" wrapText="1" readingOrder="1"/>
    </xf>
    <xf numFmtId="0" fontId="10" fillId="0" borderId="20" xfId="42" applyNumberFormat="1" applyFont="1" applyFill="1" applyBorder="1" applyAlignment="1">
      <alignment horizontal="right" vertical="center" readingOrder="1"/>
    </xf>
    <xf numFmtId="191" fontId="19" fillId="0" borderId="15" xfId="0" applyNumberFormat="1" applyFont="1" applyBorder="1" applyAlignment="1">
      <alignment vertical="center" readingOrder="1"/>
    </xf>
    <xf numFmtId="0" fontId="18" fillId="0" borderId="12" xfId="0" applyFont="1" applyFill="1" applyBorder="1" applyAlignment="1">
      <alignment horizontal="center" vertical="center" wrapText="1" readingOrder="1"/>
    </xf>
    <xf numFmtId="0" fontId="18" fillId="0" borderId="20" xfId="0" applyFont="1" applyFill="1" applyBorder="1" applyAlignment="1">
      <alignment horizontal="center" vertical="center" wrapText="1" readingOrder="1"/>
    </xf>
    <xf numFmtId="3" fontId="10" fillId="0" borderId="20" xfId="42" applyNumberFormat="1" applyFont="1" applyFill="1" applyBorder="1" applyAlignment="1">
      <alignment horizontal="right" vertical="center" readingOrder="1"/>
    </xf>
    <xf numFmtId="3" fontId="19" fillId="0" borderId="15" xfId="0" applyNumberFormat="1" applyFont="1" applyBorder="1" applyAlignment="1">
      <alignment vertical="center" readingOrder="1"/>
    </xf>
    <xf numFmtId="191" fontId="10" fillId="0" borderId="14" xfId="42" applyNumberFormat="1" applyFont="1" applyFill="1" applyBorder="1" applyAlignment="1">
      <alignment vertical="center" readingOrder="1"/>
    </xf>
    <xf numFmtId="3" fontId="10" fillId="0" borderId="23" xfId="0" applyNumberFormat="1" applyFont="1" applyBorder="1" applyAlignment="1">
      <alignment vertical="center" readingOrder="1"/>
    </xf>
    <xf numFmtId="3" fontId="10" fillId="0" borderId="23" xfId="0" applyNumberFormat="1" applyFont="1" applyFill="1" applyBorder="1" applyAlignment="1">
      <alignment vertical="center" readingOrder="1"/>
    </xf>
    <xf numFmtId="3" fontId="10" fillId="0" borderId="12" xfId="42" applyNumberFormat="1" applyFont="1" applyFill="1" applyBorder="1" applyAlignment="1">
      <alignment horizontal="right" vertical="center" readingOrder="1"/>
    </xf>
    <xf numFmtId="3" fontId="10" fillId="0" borderId="12" xfId="0" applyNumberFormat="1" applyFont="1" applyBorder="1" applyAlignment="1">
      <alignment vertical="center" readingOrder="1"/>
    </xf>
    <xf numFmtId="3" fontId="10" fillId="0" borderId="12" xfId="0" applyNumberFormat="1" applyFont="1" applyFill="1" applyBorder="1" applyAlignment="1">
      <alignment vertical="center" readingOrder="1"/>
    </xf>
    <xf numFmtId="3" fontId="10" fillId="0" borderId="12" xfId="0" applyNumberFormat="1" applyFont="1" applyBorder="1" applyAlignment="1">
      <alignment vertical="center" readingOrder="1"/>
    </xf>
    <xf numFmtId="3" fontId="10" fillId="0" borderId="12" xfId="0" applyNumberFormat="1" applyFont="1" applyFill="1" applyBorder="1" applyAlignment="1">
      <alignment vertical="center" readingOrder="1"/>
    </xf>
    <xf numFmtId="3" fontId="10" fillId="0" borderId="14" xfId="0" applyNumberFormat="1" applyFont="1" applyBorder="1" applyAlignment="1">
      <alignment vertical="center" readingOrder="1"/>
    </xf>
    <xf numFmtId="3" fontId="10" fillId="0" borderId="14" xfId="0" applyNumberFormat="1" applyFont="1" applyFill="1" applyBorder="1" applyAlignment="1">
      <alignment vertical="center" readingOrder="1"/>
    </xf>
    <xf numFmtId="191" fontId="10" fillId="0" borderId="15" xfId="42" applyNumberFormat="1" applyFont="1" applyFill="1" applyBorder="1" applyAlignment="1">
      <alignment vertical="center" readingOrder="1"/>
    </xf>
    <xf numFmtId="0" fontId="9" fillId="0" borderId="15" xfId="0" applyFont="1" applyFill="1" applyBorder="1" applyAlignment="1">
      <alignment horizontal="center" vertical="center" wrapText="1" readingOrder="1"/>
    </xf>
    <xf numFmtId="2" fontId="10" fillId="0" borderId="14" xfId="42" applyNumberFormat="1" applyFont="1" applyFill="1" applyBorder="1" applyAlignment="1">
      <alignment horizontal="right" vertical="center" readingOrder="1"/>
    </xf>
    <xf numFmtId="2" fontId="10" fillId="0" borderId="14" xfId="0" applyNumberFormat="1" applyFont="1" applyFill="1" applyBorder="1" applyAlignment="1">
      <alignment vertical="center" wrapText="1" readingOrder="1"/>
    </xf>
    <xf numFmtId="1" fontId="10" fillId="0" borderId="23" xfId="0" applyNumberFormat="1" applyFont="1" applyBorder="1" applyAlignment="1">
      <alignment vertical="center" readingOrder="1"/>
    </xf>
    <xf numFmtId="2" fontId="10" fillId="0" borderId="14" xfId="0" applyNumberFormat="1" applyFont="1" applyBorder="1" applyAlignment="1">
      <alignment vertical="center" readingOrder="1"/>
    </xf>
    <xf numFmtId="197" fontId="10" fillId="0" borderId="14" xfId="0" applyNumberFormat="1" applyFont="1" applyBorder="1" applyAlignment="1">
      <alignment vertical="center" readingOrder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3" fontId="19" fillId="0" borderId="15" xfId="0" applyNumberFormat="1" applyFont="1" applyBorder="1" applyAlignment="1">
      <alignment horizontal="right" vertical="center"/>
    </xf>
    <xf numFmtId="197" fontId="19" fillId="0" borderId="15" xfId="0" applyNumberFormat="1" applyFont="1" applyBorder="1" applyAlignment="1">
      <alignment horizontal="right" vertical="center"/>
    </xf>
    <xf numFmtId="3" fontId="10" fillId="0" borderId="23" xfId="0" applyNumberFormat="1" applyFont="1" applyBorder="1" applyAlignment="1">
      <alignment vertical="center"/>
    </xf>
    <xf numFmtId="197" fontId="10" fillId="0" borderId="23" xfId="0" applyNumberFormat="1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197" fontId="10" fillId="0" borderId="12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vertical="center"/>
    </xf>
    <xf numFmtId="197" fontId="10" fillId="0" borderId="14" xfId="0" applyNumberFormat="1" applyFont="1" applyBorder="1" applyAlignment="1">
      <alignment vertical="center"/>
    </xf>
    <xf numFmtId="3" fontId="19" fillId="0" borderId="15" xfId="0" applyNumberFormat="1" applyFont="1" applyBorder="1" applyAlignment="1">
      <alignment vertical="center"/>
    </xf>
    <xf numFmtId="3" fontId="10" fillId="0" borderId="23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197" fontId="10" fillId="0" borderId="23" xfId="0" applyNumberFormat="1" applyFont="1" applyFill="1" applyBorder="1" applyAlignment="1">
      <alignment vertical="center"/>
    </xf>
    <xf numFmtId="3" fontId="10" fillId="0" borderId="12" xfId="0" applyNumberFormat="1" applyFont="1" applyFill="1" applyBorder="1" applyAlignment="1">
      <alignment vertical="center"/>
    </xf>
    <xf numFmtId="197" fontId="10" fillId="0" borderId="12" xfId="0" applyNumberFormat="1" applyFont="1" applyFill="1" applyBorder="1" applyAlignment="1">
      <alignment vertical="center"/>
    </xf>
    <xf numFmtId="197" fontId="10" fillId="0" borderId="14" xfId="0" applyNumberFormat="1" applyFont="1" applyFill="1" applyBorder="1" applyAlignment="1">
      <alignment vertical="center"/>
    </xf>
    <xf numFmtId="3" fontId="10" fillId="0" borderId="15" xfId="0" applyNumberFormat="1" applyFont="1" applyFill="1" applyBorder="1" applyAlignment="1">
      <alignment vertical="center"/>
    </xf>
    <xf numFmtId="197" fontId="10" fillId="0" borderId="15" xfId="0" applyNumberFormat="1" applyFont="1" applyBorder="1" applyAlignment="1">
      <alignment vertical="center"/>
    </xf>
    <xf numFmtId="197" fontId="10" fillId="0" borderId="20" xfId="0" applyNumberFormat="1" applyFont="1" applyFill="1" applyBorder="1" applyAlignment="1">
      <alignment vertical="center"/>
    </xf>
    <xf numFmtId="197" fontId="10" fillId="0" borderId="15" xfId="0" applyNumberFormat="1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 wrapText="1"/>
    </xf>
    <xf numFmtId="3" fontId="10" fillId="0" borderId="15" xfId="0" applyNumberFormat="1" applyFont="1" applyBorder="1" applyAlignment="1">
      <alignment vertical="center"/>
    </xf>
    <xf numFmtId="4" fontId="10" fillId="0" borderId="23" xfId="0" applyNumberFormat="1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vertical="center"/>
    </xf>
    <xf numFmtId="0" fontId="18" fillId="0" borderId="2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vertical="center"/>
    </xf>
    <xf numFmtId="3" fontId="10" fillId="0" borderId="17" xfId="0" applyNumberFormat="1" applyFont="1" applyFill="1" applyBorder="1" applyAlignment="1">
      <alignment vertical="center"/>
    </xf>
    <xf numFmtId="3" fontId="19" fillId="0" borderId="15" xfId="42" applyNumberFormat="1" applyFont="1" applyFill="1" applyBorder="1" applyAlignment="1">
      <alignment vertical="center"/>
    </xf>
    <xf numFmtId="3" fontId="19" fillId="0" borderId="15" xfId="0" applyNumberFormat="1" applyFont="1" applyFill="1" applyBorder="1" applyAlignment="1">
      <alignment vertical="center"/>
    </xf>
    <xf numFmtId="191" fontId="18" fillId="0" borderId="15" xfId="42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right" vertical="center" wrapText="1"/>
    </xf>
    <xf numFmtId="0" fontId="10" fillId="0" borderId="17" xfId="0" applyFont="1" applyFill="1" applyBorder="1" applyAlignment="1">
      <alignment vertical="center"/>
    </xf>
    <xf numFmtId="197" fontId="19" fillId="0" borderId="15" xfId="0" applyNumberFormat="1" applyFont="1" applyFill="1" applyBorder="1" applyAlignment="1">
      <alignment vertical="center"/>
    </xf>
    <xf numFmtId="197" fontId="19" fillId="0" borderId="15" xfId="0" applyNumberFormat="1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3" fontId="21" fillId="0" borderId="23" xfId="42" applyNumberFormat="1" applyFont="1" applyBorder="1" applyAlignment="1">
      <alignment horizontal="right" vertical="center" readingOrder="1"/>
    </xf>
    <xf numFmtId="3" fontId="21" fillId="0" borderId="12" xfId="42" applyNumberFormat="1" applyFont="1" applyFill="1" applyBorder="1" applyAlignment="1">
      <alignment horizontal="right" vertical="center" readingOrder="1"/>
    </xf>
    <xf numFmtId="3" fontId="21" fillId="0" borderId="12" xfId="42" applyNumberFormat="1" applyFont="1" applyBorder="1" applyAlignment="1">
      <alignment horizontal="right" vertical="center" readingOrder="1"/>
    </xf>
    <xf numFmtId="3" fontId="21" fillId="0" borderId="14" xfId="42" applyNumberFormat="1" applyFont="1" applyFill="1" applyBorder="1" applyAlignment="1">
      <alignment horizontal="right" vertical="center" readingOrder="1"/>
    </xf>
    <xf numFmtId="0" fontId="7" fillId="0" borderId="14" xfId="58" applyFont="1" applyFill="1" applyBorder="1" applyAlignment="1">
      <alignment horizontal="left" vertical="center" wrapText="1" readingOrder="1"/>
      <protection/>
    </xf>
    <xf numFmtId="0" fontId="7" fillId="0" borderId="23" xfId="58" applyFont="1" applyFill="1" applyBorder="1" applyAlignment="1">
      <alignment horizontal="left" vertical="center" wrapText="1" readingOrder="1"/>
      <protection/>
    </xf>
    <xf numFmtId="0" fontId="7" fillId="0" borderId="12" xfId="58" applyFont="1" applyFill="1" applyBorder="1" applyAlignment="1">
      <alignment horizontal="left" vertical="center" wrapText="1" readingOrder="1"/>
      <protection/>
    </xf>
    <xf numFmtId="0" fontId="7" fillId="0" borderId="22" xfId="58" applyFont="1" applyFill="1" applyBorder="1" applyAlignment="1">
      <alignment horizontal="left" vertical="center" wrapText="1" readingOrder="1"/>
      <protection/>
    </xf>
    <xf numFmtId="3" fontId="21" fillId="0" borderId="23" xfId="42" applyNumberFormat="1" applyFont="1" applyFill="1" applyBorder="1" applyAlignment="1">
      <alignment horizontal="right" vertical="center" readingOrder="1"/>
    </xf>
    <xf numFmtId="0" fontId="7" fillId="0" borderId="13" xfId="58" applyFont="1" applyFill="1" applyBorder="1" applyAlignment="1">
      <alignment horizontal="left" vertical="center" wrapText="1" readingOrder="1"/>
      <protection/>
    </xf>
    <xf numFmtId="0" fontId="7" fillId="0" borderId="0" xfId="0" applyFont="1" applyFill="1" applyBorder="1" applyAlignment="1">
      <alignment horizontal="left" vertical="center" readingOrder="1"/>
    </xf>
    <xf numFmtId="0" fontId="7" fillId="0" borderId="18" xfId="58" applyFont="1" applyFill="1" applyBorder="1" applyAlignment="1">
      <alignment horizontal="left" vertical="center" wrapText="1" readingOrder="1"/>
      <protection/>
    </xf>
    <xf numFmtId="0" fontId="7" fillId="0" borderId="20" xfId="58" applyFont="1" applyFill="1" applyBorder="1" applyAlignment="1">
      <alignment horizontal="left" vertical="center" wrapText="1" readingOrder="1"/>
      <protection/>
    </xf>
    <xf numFmtId="3" fontId="21" fillId="0" borderId="20" xfId="42" applyNumberFormat="1" applyFont="1" applyFill="1" applyBorder="1" applyAlignment="1">
      <alignment horizontal="right" vertical="center" readingOrder="1"/>
    </xf>
    <xf numFmtId="3" fontId="21" fillId="0" borderId="20" xfId="42" applyNumberFormat="1" applyFont="1" applyBorder="1" applyAlignment="1">
      <alignment horizontal="right" vertical="center" readingOrder="1"/>
    </xf>
    <xf numFmtId="3" fontId="10" fillId="0" borderId="20" xfId="0" applyNumberFormat="1" applyFont="1" applyBorder="1" applyAlignment="1">
      <alignment vertical="center" readingOrder="1"/>
    </xf>
    <xf numFmtId="0" fontId="7" fillId="0" borderId="10" xfId="58" applyFont="1" applyFill="1" applyBorder="1" applyAlignment="1">
      <alignment horizontal="left" vertical="center" wrapText="1" readingOrder="1"/>
      <protection/>
    </xf>
    <xf numFmtId="3" fontId="21" fillId="0" borderId="15" xfId="42" applyNumberFormat="1" applyFont="1" applyFill="1" applyBorder="1" applyAlignment="1">
      <alignment horizontal="right" vertical="center" readingOrder="1"/>
    </xf>
    <xf numFmtId="3" fontId="21" fillId="0" borderId="15" xfId="42" applyNumberFormat="1" applyFont="1" applyBorder="1" applyAlignment="1">
      <alignment horizontal="right" vertical="center" readingOrder="1"/>
    </xf>
    <xf numFmtId="0" fontId="7" fillId="0" borderId="19" xfId="58" applyFont="1" applyFill="1" applyBorder="1" applyAlignment="1">
      <alignment horizontal="left" vertical="center" wrapText="1" readingOrder="1"/>
      <protection/>
    </xf>
    <xf numFmtId="0" fontId="7" fillId="0" borderId="15" xfId="58" applyFont="1" applyFill="1" applyBorder="1" applyAlignment="1">
      <alignment horizontal="left" vertical="center" wrapText="1" readingOrder="1"/>
      <protection/>
    </xf>
    <xf numFmtId="191" fontId="21" fillId="0" borderId="15" xfId="42" applyNumberFormat="1" applyFont="1" applyBorder="1" applyAlignment="1">
      <alignment vertical="center" readingOrder="1"/>
    </xf>
    <xf numFmtId="191" fontId="23" fillId="0" borderId="15" xfId="42" applyNumberFormat="1" applyFont="1" applyBorder="1" applyAlignment="1">
      <alignment vertical="center" readingOrder="1"/>
    </xf>
    <xf numFmtId="0" fontId="17" fillId="0" borderId="0" xfId="58" applyFont="1" applyFill="1" applyBorder="1" applyAlignment="1">
      <alignment horizontal="center" vertical="center" textRotation="90" readingOrder="1"/>
      <protection/>
    </xf>
    <xf numFmtId="0" fontId="18" fillId="0" borderId="0" xfId="0" applyFont="1" applyFill="1" applyBorder="1" applyAlignment="1">
      <alignment horizontal="center" vertical="center" textRotation="90" readingOrder="1"/>
    </xf>
    <xf numFmtId="0" fontId="7" fillId="0" borderId="0" xfId="58" applyFont="1" applyFill="1" applyBorder="1" applyAlignment="1">
      <alignment horizontal="left" vertical="center" wrapText="1" readingOrder="1"/>
      <protection/>
    </xf>
    <xf numFmtId="3" fontId="21" fillId="0" borderId="0" xfId="42" applyNumberFormat="1" applyFont="1" applyFill="1" applyBorder="1" applyAlignment="1">
      <alignment horizontal="right" vertical="center" readingOrder="1"/>
    </xf>
    <xf numFmtId="3" fontId="21" fillId="0" borderId="0" xfId="42" applyNumberFormat="1" applyFont="1" applyBorder="1" applyAlignment="1">
      <alignment horizontal="right" vertical="center" readingOrder="1"/>
    </xf>
    <xf numFmtId="0" fontId="6" fillId="0" borderId="0" xfId="0" applyFont="1" applyBorder="1" applyAlignment="1">
      <alignment vertical="center" readingOrder="1"/>
    </xf>
    <xf numFmtId="3" fontId="21" fillId="0" borderId="15" xfId="42" applyNumberFormat="1" applyFont="1" applyBorder="1" applyAlignment="1">
      <alignment vertical="center" readingOrder="1"/>
    </xf>
    <xf numFmtId="0" fontId="7" fillId="0" borderId="11" xfId="58" applyFont="1" applyFill="1" applyBorder="1" applyAlignment="1">
      <alignment horizontal="left" vertical="center" wrapText="1" readingOrder="1"/>
      <protection/>
    </xf>
    <xf numFmtId="0" fontId="17" fillId="0" borderId="0" xfId="58" applyFont="1" applyFill="1" applyBorder="1" applyAlignment="1">
      <alignment horizontal="center" vertical="center" textRotation="90" wrapText="1" readingOrder="1"/>
      <protection/>
    </xf>
    <xf numFmtId="3" fontId="10" fillId="0" borderId="23" xfId="42" applyNumberFormat="1" applyFont="1" applyBorder="1" applyAlignment="1">
      <alignment horizontal="right" vertical="center" readingOrder="1"/>
    </xf>
    <xf numFmtId="3" fontId="10" fillId="0" borderId="12" xfId="42" applyNumberFormat="1" applyFont="1" applyBorder="1" applyAlignment="1">
      <alignment horizontal="right" vertical="center" readingOrder="1"/>
    </xf>
    <xf numFmtId="3" fontId="10" fillId="0" borderId="12" xfId="42" applyNumberFormat="1" applyFont="1" applyBorder="1" applyAlignment="1">
      <alignment vertical="center" readingOrder="1"/>
    </xf>
    <xf numFmtId="3" fontId="10" fillId="0" borderId="14" xfId="42" applyNumberFormat="1" applyFont="1" applyBorder="1" applyAlignment="1">
      <alignment vertical="center" readingOrder="1"/>
    </xf>
    <xf numFmtId="0" fontId="7" fillId="0" borderId="16" xfId="58" applyFont="1" applyFill="1" applyBorder="1" applyAlignment="1">
      <alignment horizontal="left" vertical="center" wrapText="1" readingOrder="1"/>
      <protection/>
    </xf>
    <xf numFmtId="3" fontId="10" fillId="0" borderId="14" xfId="42" applyNumberFormat="1" applyFont="1" applyBorder="1" applyAlignment="1">
      <alignment horizontal="right" vertical="center" readingOrder="1"/>
    </xf>
    <xf numFmtId="3" fontId="10" fillId="0" borderId="17" xfId="42" applyNumberFormat="1" applyFont="1" applyBorder="1" applyAlignment="1">
      <alignment vertical="center" readingOrder="1"/>
    </xf>
    <xf numFmtId="3" fontId="19" fillId="0" borderId="15" xfId="42" applyNumberFormat="1" applyFont="1" applyBorder="1" applyAlignment="1">
      <alignment vertical="center" readingOrder="1"/>
    </xf>
    <xf numFmtId="0" fontId="0" fillId="0" borderId="0" xfId="0" applyFont="1" applyFill="1" applyAlignment="1">
      <alignment vertical="center" readingOrder="1"/>
    </xf>
    <xf numFmtId="191" fontId="19" fillId="0" borderId="15" xfId="42" applyNumberFormat="1" applyFont="1" applyFill="1" applyBorder="1" applyAlignment="1">
      <alignment vertical="center" readingOrder="1"/>
    </xf>
    <xf numFmtId="0" fontId="1" fillId="0" borderId="0" xfId="0" applyFont="1" applyFill="1" applyAlignment="1">
      <alignment vertical="center" readingOrder="1"/>
    </xf>
    <xf numFmtId="191" fontId="10" fillId="0" borderId="23" xfId="42" applyNumberFormat="1" applyFont="1" applyBorder="1" applyAlignment="1">
      <alignment horizontal="right" vertical="center" readingOrder="1"/>
    </xf>
    <xf numFmtId="191" fontId="10" fillId="0" borderId="23" xfId="0" applyNumberFormat="1" applyFont="1" applyBorder="1" applyAlignment="1">
      <alignment vertical="center" readingOrder="1"/>
    </xf>
    <xf numFmtId="191" fontId="10" fillId="0" borderId="12" xfId="42" applyNumberFormat="1" applyFont="1" applyBorder="1" applyAlignment="1">
      <alignment horizontal="right" vertical="center" readingOrder="1"/>
    </xf>
    <xf numFmtId="191" fontId="10" fillId="0" borderId="12" xfId="0" applyNumberFormat="1" applyFont="1" applyBorder="1" applyAlignment="1">
      <alignment vertical="center" readingOrder="1"/>
    </xf>
    <xf numFmtId="191" fontId="10" fillId="0" borderId="20" xfId="42" applyNumberFormat="1" applyFont="1" applyBorder="1" applyAlignment="1">
      <alignment horizontal="right" vertical="center" readingOrder="1"/>
    </xf>
    <xf numFmtId="191" fontId="10" fillId="0" borderId="20" xfId="0" applyNumberFormat="1" applyFont="1" applyBorder="1" applyAlignment="1">
      <alignment vertical="center" readingOrder="1"/>
    </xf>
    <xf numFmtId="191" fontId="10" fillId="0" borderId="15" xfId="42" applyNumberFormat="1" applyFont="1" applyBorder="1" applyAlignment="1">
      <alignment horizontal="right" vertical="center" readingOrder="1"/>
    </xf>
    <xf numFmtId="0" fontId="19" fillId="0" borderId="15" xfId="58" applyFont="1" applyFill="1" applyBorder="1" applyAlignment="1">
      <alignment horizontal="center" vertical="center" wrapText="1" readingOrder="1"/>
      <protection/>
    </xf>
    <xf numFmtId="4" fontId="21" fillId="0" borderId="23" xfId="42" applyNumberFormat="1" applyFont="1" applyFill="1" applyBorder="1" applyAlignment="1">
      <alignment horizontal="right" vertical="center" readingOrder="1"/>
    </xf>
    <xf numFmtId="4" fontId="21" fillId="0" borderId="14" xfId="42" applyNumberFormat="1" applyFont="1" applyFill="1" applyBorder="1" applyAlignment="1">
      <alignment horizontal="right" vertical="center" readingOrder="1"/>
    </xf>
    <xf numFmtId="0" fontId="7" fillId="0" borderId="30" xfId="58" applyFont="1" applyFill="1" applyBorder="1" applyAlignment="1">
      <alignment horizontal="center" vertical="center" wrapText="1" readingOrder="1"/>
      <protection/>
    </xf>
    <xf numFmtId="0" fontId="10" fillId="0" borderId="30" xfId="58" applyFont="1" applyFill="1" applyBorder="1" applyAlignment="1">
      <alignment horizontal="center" vertical="center" wrapText="1" readingOrder="1"/>
      <protection/>
    </xf>
    <xf numFmtId="0" fontId="7" fillId="0" borderId="33" xfId="58" applyFont="1" applyFill="1" applyBorder="1" applyAlignment="1">
      <alignment horizontal="center" vertical="center" wrapText="1" readingOrder="1"/>
      <protection/>
    </xf>
    <xf numFmtId="0" fontId="10" fillId="0" borderId="33" xfId="58" applyFont="1" applyFill="1" applyBorder="1" applyAlignment="1">
      <alignment horizontal="center" vertical="center" wrapText="1" readingOrder="1"/>
      <protection/>
    </xf>
    <xf numFmtId="4" fontId="21" fillId="0" borderId="12" xfId="42" applyNumberFormat="1" applyFont="1" applyFill="1" applyBorder="1" applyAlignment="1">
      <alignment horizontal="right" vertical="center" readingOrder="1"/>
    </xf>
    <xf numFmtId="0" fontId="7" fillId="0" borderId="30" xfId="58" applyFont="1" applyFill="1" applyBorder="1" applyAlignment="1">
      <alignment horizontal="left" vertical="center" wrapText="1" readingOrder="1"/>
      <protection/>
    </xf>
    <xf numFmtId="0" fontId="7" fillId="0" borderId="31" xfId="58" applyFont="1" applyFill="1" applyBorder="1" applyAlignment="1">
      <alignment horizontal="left" vertical="center" wrapText="1" readingOrder="1"/>
      <protection/>
    </xf>
    <xf numFmtId="0" fontId="10" fillId="0" borderId="31" xfId="58" applyFont="1" applyFill="1" applyBorder="1" applyAlignment="1">
      <alignment horizontal="center" vertical="center" wrapText="1" readingOrder="1"/>
      <protection/>
    </xf>
    <xf numFmtId="0" fontId="7" fillId="0" borderId="33" xfId="58" applyFont="1" applyFill="1" applyBorder="1" applyAlignment="1">
      <alignment horizontal="left" vertical="center" wrapText="1" readingOrder="1"/>
      <protection/>
    </xf>
    <xf numFmtId="3" fontId="23" fillId="0" borderId="15" xfId="42" applyNumberFormat="1" applyFont="1" applyBorder="1" applyAlignment="1">
      <alignment vertical="center" readingOrder="1"/>
    </xf>
    <xf numFmtId="0" fontId="10" fillId="0" borderId="34" xfId="58" applyFont="1" applyFill="1" applyBorder="1" applyAlignment="1">
      <alignment horizontal="center" vertical="center" wrapText="1" readingOrder="1"/>
      <protection/>
    </xf>
    <xf numFmtId="0" fontId="10" fillId="0" borderId="28" xfId="58" applyFont="1" applyFill="1" applyBorder="1" applyAlignment="1">
      <alignment horizontal="center" vertical="center" wrapText="1" readingOrder="1"/>
      <protection/>
    </xf>
    <xf numFmtId="0" fontId="10" fillId="0" borderId="35" xfId="58" applyFont="1" applyFill="1" applyBorder="1" applyAlignment="1">
      <alignment horizontal="center" vertical="center" wrapText="1" readingOrder="1"/>
      <protection/>
    </xf>
    <xf numFmtId="0" fontId="10" fillId="0" borderId="36" xfId="58" applyFont="1" applyFill="1" applyBorder="1" applyAlignment="1">
      <alignment horizontal="center" vertical="center" wrapText="1" readingOrder="1"/>
      <protection/>
    </xf>
    <xf numFmtId="0" fontId="18" fillId="0" borderId="34" xfId="58" applyFont="1" applyFill="1" applyBorder="1" applyAlignment="1">
      <alignment horizontal="center" vertical="center" wrapText="1" readingOrder="1"/>
      <protection/>
    </xf>
    <xf numFmtId="4" fontId="10" fillId="0" borderId="23" xfId="42" applyNumberFormat="1" applyFont="1" applyBorder="1" applyAlignment="1">
      <alignment horizontal="right" vertical="center" readingOrder="1"/>
    </xf>
    <xf numFmtId="4" fontId="10" fillId="0" borderId="23" xfId="0" applyNumberFormat="1" applyFont="1" applyBorder="1" applyAlignment="1">
      <alignment vertical="center" readingOrder="1"/>
    </xf>
    <xf numFmtId="4" fontId="10" fillId="0" borderId="14" xfId="42" applyNumberFormat="1" applyFont="1" applyFill="1" applyBorder="1" applyAlignment="1">
      <alignment horizontal="right" vertical="center" readingOrder="1"/>
    </xf>
    <xf numFmtId="4" fontId="10" fillId="0" borderId="14" xfId="0" applyNumberFormat="1" applyFont="1" applyBorder="1" applyAlignment="1">
      <alignment vertical="center" readingOrder="1"/>
    </xf>
    <xf numFmtId="4" fontId="10" fillId="0" borderId="14" xfId="0" applyNumberFormat="1" applyFont="1" applyFill="1" applyBorder="1" applyAlignment="1">
      <alignment horizontal="center" vertical="center" readingOrder="1"/>
    </xf>
    <xf numFmtId="4" fontId="10" fillId="0" borderId="23" xfId="42" applyNumberFormat="1" applyFont="1" applyFill="1" applyBorder="1" applyAlignment="1">
      <alignment horizontal="right" vertical="center" readingOrder="1"/>
    </xf>
    <xf numFmtId="4" fontId="10" fillId="0" borderId="12" xfId="42" applyNumberFormat="1" applyFont="1" applyFill="1" applyBorder="1" applyAlignment="1">
      <alignment horizontal="right" vertical="center" readingOrder="1"/>
    </xf>
    <xf numFmtId="4" fontId="10" fillId="0" borderId="14" xfId="0" applyNumberFormat="1" applyFont="1" applyFill="1" applyBorder="1" applyAlignment="1">
      <alignment vertical="center" readingOrder="1"/>
    </xf>
    <xf numFmtId="197" fontId="19" fillId="0" borderId="15" xfId="42" applyNumberFormat="1" applyFont="1" applyFill="1" applyBorder="1" applyAlignment="1">
      <alignment vertical="center" readingOrder="1"/>
    </xf>
    <xf numFmtId="191" fontId="10" fillId="0" borderId="23" xfId="42" applyNumberFormat="1" applyFont="1" applyFill="1" applyBorder="1" applyAlignment="1">
      <alignment horizontal="right" vertical="center" readingOrder="1"/>
    </xf>
    <xf numFmtId="191" fontId="10" fillId="0" borderId="12" xfId="42" applyNumberFormat="1" applyFont="1" applyFill="1" applyBorder="1" applyAlignment="1">
      <alignment horizontal="right" vertical="center" readingOrder="1"/>
    </xf>
    <xf numFmtId="191" fontId="10" fillId="0" borderId="20" xfId="42" applyNumberFormat="1" applyFont="1" applyFill="1" applyBorder="1" applyAlignment="1">
      <alignment horizontal="right" vertical="center" readingOrder="1"/>
    </xf>
    <xf numFmtId="191" fontId="10" fillId="0" borderId="15" xfId="42" applyNumberFormat="1" applyFont="1" applyFill="1" applyBorder="1" applyAlignment="1">
      <alignment horizontal="right" vertical="center" readingOrder="1"/>
    </xf>
    <xf numFmtId="3" fontId="19" fillId="0" borderId="23" xfId="0" applyNumberFormat="1" applyFont="1" applyFill="1" applyBorder="1" applyAlignment="1">
      <alignment vertical="center" readingOrder="1"/>
    </xf>
    <xf numFmtId="0" fontId="18" fillId="0" borderId="29" xfId="0" applyFont="1" applyFill="1" applyBorder="1" applyAlignment="1">
      <alignment horizontal="center" vertical="center" textRotation="90" readingOrder="1"/>
    </xf>
    <xf numFmtId="0" fontId="10" fillId="0" borderId="37" xfId="58" applyFont="1" applyFill="1" applyBorder="1" applyAlignment="1">
      <alignment horizontal="center" vertical="center" wrapText="1" readingOrder="1"/>
      <protection/>
    </xf>
    <xf numFmtId="3" fontId="10" fillId="0" borderId="17" xfId="0" applyNumberFormat="1" applyFont="1" applyFill="1" applyBorder="1" applyAlignment="1">
      <alignment vertical="center" readingOrder="1"/>
    </xf>
    <xf numFmtId="4" fontId="10" fillId="0" borderId="14" xfId="42" applyNumberFormat="1" applyFont="1" applyBorder="1" applyAlignment="1">
      <alignment horizontal="right" vertical="center" readingOrder="1"/>
    </xf>
    <xf numFmtId="0" fontId="10" fillId="0" borderId="38" xfId="58" applyFont="1" applyFill="1" applyBorder="1" applyAlignment="1">
      <alignment horizontal="center" vertical="center" wrapText="1" readingOrder="1"/>
      <protection/>
    </xf>
    <xf numFmtId="0" fontId="10" fillId="0" borderId="39" xfId="58" applyFont="1" applyFill="1" applyBorder="1" applyAlignment="1">
      <alignment horizontal="center" vertical="center" wrapText="1" readingOrder="1"/>
      <protection/>
    </xf>
    <xf numFmtId="3" fontId="10" fillId="0" borderId="22" xfId="42" applyNumberFormat="1" applyFont="1" applyFill="1" applyBorder="1" applyAlignment="1">
      <alignment horizontal="right" vertical="center" readingOrder="1"/>
    </xf>
    <xf numFmtId="4" fontId="10" fillId="0" borderId="18" xfId="42" applyNumberFormat="1" applyFont="1" applyBorder="1" applyAlignment="1">
      <alignment horizontal="right" vertical="center" readingOrder="1"/>
    </xf>
    <xf numFmtId="0" fontId="10" fillId="0" borderId="40" xfId="58" applyFont="1" applyFill="1" applyBorder="1" applyAlignment="1">
      <alignment horizontal="center" vertical="center" wrapText="1" readingOrder="1"/>
      <protection/>
    </xf>
    <xf numFmtId="3" fontId="10" fillId="0" borderId="23" xfId="42" applyNumberFormat="1" applyFont="1" applyFill="1" applyBorder="1" applyAlignment="1">
      <alignment vertical="center" readingOrder="1"/>
    </xf>
    <xf numFmtId="3" fontId="10" fillId="0" borderId="23" xfId="42" applyNumberFormat="1" applyFont="1" applyFill="1" applyBorder="1" applyAlignment="1">
      <alignment horizontal="center" vertical="center" readingOrder="1"/>
    </xf>
    <xf numFmtId="4" fontId="10" fillId="0" borderId="22" xfId="42" applyNumberFormat="1" applyFont="1" applyFill="1" applyBorder="1" applyAlignment="1">
      <alignment horizontal="right" vertical="center" readingOrder="1"/>
    </xf>
    <xf numFmtId="3" fontId="10" fillId="0" borderId="23" xfId="0" applyNumberFormat="1" applyFont="1" applyFill="1" applyBorder="1" applyAlignment="1">
      <alignment horizontal="right" vertical="center" readingOrder="1"/>
    </xf>
    <xf numFmtId="3" fontId="19" fillId="0" borderId="10" xfId="42" applyNumberFormat="1" applyFont="1" applyFill="1" applyBorder="1" applyAlignment="1">
      <alignment vertical="center" readingOrder="1"/>
    </xf>
    <xf numFmtId="3" fontId="19" fillId="0" borderId="15" xfId="42" applyNumberFormat="1" applyFont="1" applyFill="1" applyBorder="1" applyAlignment="1">
      <alignment vertical="center" readingOrder="1"/>
    </xf>
    <xf numFmtId="4" fontId="19" fillId="0" borderId="15" xfId="0" applyNumberFormat="1" applyFont="1" applyFill="1" applyBorder="1" applyAlignment="1">
      <alignment vertical="center" readingOrder="1"/>
    </xf>
    <xf numFmtId="4" fontId="10" fillId="0" borderId="0" xfId="42" applyNumberFormat="1" applyFont="1" applyBorder="1" applyAlignment="1">
      <alignment horizontal="right" vertical="center" readingOrder="1"/>
    </xf>
    <xf numFmtId="0" fontId="18" fillId="0" borderId="15" xfId="0" applyFont="1" applyFill="1" applyBorder="1" applyAlignment="1">
      <alignment horizontal="center" vertical="center" readingOrder="1"/>
    </xf>
    <xf numFmtId="3" fontId="10" fillId="0" borderId="18" xfId="42" applyNumberFormat="1" applyFont="1" applyBorder="1" applyAlignment="1">
      <alignment horizontal="right" vertical="center" readingOrder="1"/>
    </xf>
    <xf numFmtId="3" fontId="10" fillId="0" borderId="19" xfId="42" applyNumberFormat="1" applyFont="1" applyBorder="1" applyAlignment="1">
      <alignment horizontal="right" vertical="center" readingOrder="1"/>
    </xf>
    <xf numFmtId="3" fontId="10" fillId="0" borderId="20" xfId="42" applyNumberFormat="1" applyFont="1" applyBorder="1" applyAlignment="1">
      <alignment horizontal="right" vertical="center" readingOrder="1"/>
    </xf>
    <xf numFmtId="3" fontId="19" fillId="0" borderId="20" xfId="0" applyNumberFormat="1" applyFont="1" applyFill="1" applyBorder="1" applyAlignment="1">
      <alignment vertical="center" readingOrder="1"/>
    </xf>
    <xf numFmtId="3" fontId="10" fillId="0" borderId="22" xfId="42" applyNumberFormat="1" applyFont="1" applyBorder="1" applyAlignment="1">
      <alignment horizontal="right" vertical="center" readingOrder="1"/>
    </xf>
    <xf numFmtId="3" fontId="10" fillId="0" borderId="13" xfId="42" applyNumberFormat="1" applyFont="1" applyFill="1" applyBorder="1" applyAlignment="1">
      <alignment horizontal="right" vertical="center" readingOrder="1"/>
    </xf>
    <xf numFmtId="0" fontId="19" fillId="0" borderId="29" xfId="58" applyFont="1" applyFill="1" applyBorder="1" applyAlignment="1">
      <alignment horizontal="center" vertical="center" wrapText="1" readingOrder="1"/>
      <protection/>
    </xf>
    <xf numFmtId="3" fontId="19" fillId="0" borderId="10" xfId="0" applyNumberFormat="1" applyFont="1" applyFill="1" applyBorder="1" applyAlignment="1">
      <alignment vertical="center" readingOrder="1"/>
    </xf>
    <xf numFmtId="0" fontId="18" fillId="0" borderId="15" xfId="0" applyFont="1" applyFill="1" applyBorder="1" applyAlignment="1">
      <alignment horizontal="center" vertical="center" textRotation="90" readingOrder="1"/>
    </xf>
    <xf numFmtId="0" fontId="19" fillId="0" borderId="30" xfId="58" applyFont="1" applyFill="1" applyBorder="1" applyAlignment="1">
      <alignment horizontal="center" vertical="center" wrapText="1" readingOrder="1"/>
      <protection/>
    </xf>
    <xf numFmtId="0" fontId="19" fillId="0" borderId="33" xfId="58" applyFont="1" applyFill="1" applyBorder="1" applyAlignment="1">
      <alignment horizontal="center" vertical="center" wrapText="1" readingOrder="1"/>
      <protection/>
    </xf>
    <xf numFmtId="3" fontId="10" fillId="0" borderId="23" xfId="0" applyNumberFormat="1" applyFont="1" applyBorder="1" applyAlignment="1">
      <alignment horizontal="right" vertical="center" readingOrder="1"/>
    </xf>
    <xf numFmtId="0" fontId="19" fillId="0" borderId="41" xfId="58" applyFont="1" applyFill="1" applyBorder="1" applyAlignment="1">
      <alignment horizontal="center" vertical="center" wrapText="1" readingOrder="1"/>
      <protection/>
    </xf>
    <xf numFmtId="3" fontId="10" fillId="0" borderId="0" xfId="42" applyNumberFormat="1" applyFont="1" applyBorder="1" applyAlignment="1">
      <alignment horizontal="right" vertical="center" readingOrder="1"/>
    </xf>
    <xf numFmtId="3" fontId="19" fillId="0" borderId="0" xfId="0" applyNumberFormat="1" applyFont="1" applyFill="1" applyBorder="1" applyAlignment="1">
      <alignment vertical="center" readingOrder="1"/>
    </xf>
    <xf numFmtId="0" fontId="10" fillId="0" borderId="0" xfId="58" applyFont="1" applyFill="1" applyBorder="1" applyAlignment="1">
      <alignment horizontal="center" vertical="center" wrapText="1" readingOrder="1"/>
      <protection/>
    </xf>
    <xf numFmtId="0" fontId="6" fillId="0" borderId="0" xfId="58" applyFont="1" applyFill="1" applyBorder="1" applyAlignment="1">
      <alignment horizontal="left" vertical="center" readingOrder="1"/>
      <protection/>
    </xf>
    <xf numFmtId="0" fontId="10" fillId="0" borderId="15" xfId="0" applyFont="1" applyFill="1" applyBorder="1" applyAlignment="1">
      <alignment vertical="center" readingOrder="1"/>
    </xf>
    <xf numFmtId="0" fontId="19" fillId="0" borderId="15" xfId="0" applyFont="1" applyFill="1" applyBorder="1" applyAlignment="1">
      <alignment vertical="center" readingOrder="1"/>
    </xf>
    <xf numFmtId="0" fontId="10" fillId="0" borderId="23" xfId="0" applyFont="1" applyBorder="1" applyAlignment="1">
      <alignment vertical="center" readingOrder="1"/>
    </xf>
    <xf numFmtId="0" fontId="19" fillId="0" borderId="23" xfId="0" applyFont="1" applyBorder="1" applyAlignment="1">
      <alignment vertical="center" readingOrder="1"/>
    </xf>
    <xf numFmtId="0" fontId="18" fillId="0" borderId="20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vertical="center"/>
    </xf>
    <xf numFmtId="0" fontId="19" fillId="0" borderId="20" xfId="0" applyFont="1" applyBorder="1" applyAlignment="1">
      <alignment vertical="center" readingOrder="1"/>
    </xf>
    <xf numFmtId="0" fontId="19" fillId="0" borderId="15" xfId="0" applyFont="1" applyBorder="1" applyAlignment="1">
      <alignment vertical="center"/>
    </xf>
    <xf numFmtId="0" fontId="10" fillId="0" borderId="23" xfId="0" applyFont="1" applyFill="1" applyBorder="1" applyAlignment="1">
      <alignment vertical="center" readingOrder="1"/>
    </xf>
    <xf numFmtId="0" fontId="10" fillId="0" borderId="12" xfId="0" applyFont="1" applyFill="1" applyBorder="1" applyAlignment="1">
      <alignment vertical="center" readingOrder="1"/>
    </xf>
    <xf numFmtId="0" fontId="9" fillId="0" borderId="21" xfId="0" applyFont="1" applyFill="1" applyBorder="1" applyAlignment="1">
      <alignment horizontal="center" vertical="center" readingOrder="1"/>
    </xf>
    <xf numFmtId="0" fontId="18" fillId="0" borderId="10" xfId="58" applyFont="1" applyFill="1" applyBorder="1" applyAlignment="1">
      <alignment horizontal="center" vertical="center" wrapText="1" readingOrder="1"/>
      <protection/>
    </xf>
    <xf numFmtId="3" fontId="19" fillId="0" borderId="15" xfId="42" applyNumberFormat="1" applyFont="1" applyBorder="1" applyAlignment="1">
      <alignment horizontal="right" vertical="center" readingOrder="1"/>
    </xf>
    <xf numFmtId="4" fontId="19" fillId="0" borderId="15" xfId="42" applyNumberFormat="1" applyFont="1" applyBorder="1" applyAlignment="1">
      <alignment horizontal="right" vertical="center" readingOrder="1"/>
    </xf>
    <xf numFmtId="0" fontId="7" fillId="0" borderId="36" xfId="58" applyFont="1" applyFill="1" applyBorder="1" applyAlignment="1">
      <alignment horizontal="left" vertical="center" wrapText="1" readingOrder="1"/>
      <protection/>
    </xf>
    <xf numFmtId="4" fontId="10" fillId="0" borderId="12" xfId="42" applyNumberFormat="1" applyFont="1" applyBorder="1" applyAlignment="1">
      <alignment horizontal="right" vertical="center" readingOrder="1"/>
    </xf>
    <xf numFmtId="4" fontId="10" fillId="0" borderId="15" xfId="42" applyNumberFormat="1" applyFont="1" applyFill="1" applyBorder="1" applyAlignment="1">
      <alignment horizontal="right" vertical="center" readingOrder="1"/>
    </xf>
    <xf numFmtId="4" fontId="10" fillId="0" borderId="12" xfId="0" applyNumberFormat="1" applyFont="1" applyBorder="1" applyAlignment="1">
      <alignment horizontal="right" vertical="center" readingOrder="1"/>
    </xf>
    <xf numFmtId="4" fontId="10" fillId="0" borderId="20" xfId="0" applyNumberFormat="1" applyFont="1" applyBorder="1" applyAlignment="1">
      <alignment vertical="center" readingOrder="1"/>
    </xf>
    <xf numFmtId="4" fontId="10" fillId="0" borderId="20" xfId="0" applyNumberFormat="1" applyFont="1" applyBorder="1" applyAlignment="1">
      <alignment horizontal="right" vertical="center" readingOrder="1"/>
    </xf>
    <xf numFmtId="4" fontId="19" fillId="0" borderId="15" xfId="42" applyNumberFormat="1" applyFont="1" applyFill="1" applyBorder="1" applyAlignment="1">
      <alignment vertical="center" readingOrder="1"/>
    </xf>
    <xf numFmtId="3" fontId="10" fillId="0" borderId="21" xfId="42" applyNumberFormat="1" applyFont="1" applyFill="1" applyBorder="1" applyAlignment="1">
      <alignment vertical="center" readingOrder="1"/>
    </xf>
    <xf numFmtId="4" fontId="10" fillId="0" borderId="21" xfId="42" applyNumberFormat="1" applyFont="1" applyFill="1" applyBorder="1" applyAlignment="1">
      <alignment vertical="center" readingOrder="1"/>
    </xf>
    <xf numFmtId="4" fontId="10" fillId="0" borderId="22" xfId="42" applyNumberFormat="1" applyFont="1" applyBorder="1" applyAlignment="1">
      <alignment horizontal="right" vertical="center" readingOrder="1"/>
    </xf>
    <xf numFmtId="4" fontId="10" fillId="0" borderId="13" xfId="42" applyNumberFormat="1" applyFont="1" applyBorder="1" applyAlignment="1">
      <alignment horizontal="right" vertical="center" readingOrder="1"/>
    </xf>
    <xf numFmtId="4" fontId="10" fillId="0" borderId="13" xfId="42" applyNumberFormat="1" applyFont="1" applyFill="1" applyBorder="1" applyAlignment="1">
      <alignment horizontal="right" vertical="center" readingOrder="1"/>
    </xf>
    <xf numFmtId="4" fontId="10" fillId="0" borderId="23" xfId="0" applyNumberFormat="1" applyFont="1" applyFill="1" applyBorder="1" applyAlignment="1">
      <alignment horizontal="right" vertical="center" readingOrder="1"/>
    </xf>
    <xf numFmtId="4" fontId="10" fillId="0" borderId="12" xfId="0" applyNumberFormat="1" applyFont="1" applyFill="1" applyBorder="1" applyAlignment="1">
      <alignment horizontal="right" vertical="center" readingOrder="1"/>
    </xf>
    <xf numFmtId="4" fontId="10" fillId="0" borderId="23" xfId="0" applyNumberFormat="1" applyFont="1" applyBorder="1" applyAlignment="1">
      <alignment horizontal="right" vertical="center" readingOrder="1"/>
    </xf>
    <xf numFmtId="4" fontId="10" fillId="0" borderId="18" xfId="42" applyNumberFormat="1" applyFont="1" applyFill="1" applyBorder="1" applyAlignment="1">
      <alignment horizontal="right" vertical="center" readingOrder="1"/>
    </xf>
    <xf numFmtId="4" fontId="10" fillId="0" borderId="14" xfId="0" applyNumberFormat="1" applyFont="1" applyBorder="1" applyAlignment="1">
      <alignment horizontal="right" vertical="center" readingOrder="1"/>
    </xf>
    <xf numFmtId="0" fontId="8" fillId="0" borderId="0" xfId="0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 horizontal="left" vertical="center" readingOrder="1"/>
    </xf>
    <xf numFmtId="3" fontId="10" fillId="33" borderId="15" xfId="0" applyNumberFormat="1" applyFont="1" applyFill="1" applyBorder="1" applyAlignment="1">
      <alignment vertical="center" readingOrder="1"/>
    </xf>
    <xf numFmtId="3" fontId="10" fillId="0" borderId="0" xfId="0" applyNumberFormat="1" applyFont="1" applyFill="1" applyBorder="1" applyAlignment="1">
      <alignment vertical="center" readingOrder="1"/>
    </xf>
    <xf numFmtId="191" fontId="10" fillId="33" borderId="15" xfId="42" applyNumberFormat="1" applyFont="1" applyFill="1" applyBorder="1" applyAlignment="1">
      <alignment horizontal="right" vertical="center" readingOrder="1"/>
    </xf>
    <xf numFmtId="4" fontId="23" fillId="33" borderId="15" xfId="42" applyNumberFormat="1" applyFont="1" applyFill="1" applyBorder="1" applyAlignment="1">
      <alignment vertical="center" readingOrder="1"/>
    </xf>
    <xf numFmtId="3" fontId="10" fillId="33" borderId="23" xfId="0" applyNumberFormat="1" applyFont="1" applyFill="1" applyBorder="1" applyAlignment="1">
      <alignment vertical="center" readingOrder="1"/>
    </xf>
    <xf numFmtId="3" fontId="10" fillId="33" borderId="23" xfId="42" applyNumberFormat="1" applyFont="1" applyFill="1" applyBorder="1" applyAlignment="1">
      <alignment horizontal="right" vertical="center" readingOrder="1"/>
    </xf>
    <xf numFmtId="3" fontId="10" fillId="33" borderId="23" xfId="42" applyNumberFormat="1" applyFont="1" applyFill="1" applyBorder="1" applyAlignment="1">
      <alignment vertical="center" readingOrder="1"/>
    </xf>
    <xf numFmtId="4" fontId="10" fillId="33" borderId="22" xfId="42" applyNumberFormat="1" applyFont="1" applyFill="1" applyBorder="1" applyAlignment="1">
      <alignment horizontal="right" vertical="center" readingOrder="1"/>
    </xf>
    <xf numFmtId="4" fontId="10" fillId="33" borderId="23" xfId="0" applyNumberFormat="1" applyFont="1" applyFill="1" applyBorder="1" applyAlignment="1">
      <alignment vertical="center" readingOrder="1"/>
    </xf>
    <xf numFmtId="4" fontId="10" fillId="33" borderId="23" xfId="42" applyNumberFormat="1" applyFont="1" applyFill="1" applyBorder="1" applyAlignment="1">
      <alignment horizontal="right" vertical="center" readingOrder="1"/>
    </xf>
    <xf numFmtId="4" fontId="10" fillId="33" borderId="13" xfId="42" applyNumberFormat="1" applyFont="1" applyFill="1" applyBorder="1" applyAlignment="1">
      <alignment horizontal="right" vertical="center" readingOrder="1"/>
    </xf>
    <xf numFmtId="4" fontId="10" fillId="33" borderId="12" xfId="0" applyNumberFormat="1" applyFont="1" applyFill="1" applyBorder="1" applyAlignment="1">
      <alignment vertical="center" readingOrder="1"/>
    </xf>
    <xf numFmtId="4" fontId="10" fillId="33" borderId="12" xfId="42" applyNumberFormat="1" applyFont="1" applyFill="1" applyBorder="1" applyAlignment="1">
      <alignment horizontal="right" vertical="center" readingOrder="1"/>
    </xf>
    <xf numFmtId="4" fontId="10" fillId="33" borderId="18" xfId="42" applyNumberFormat="1" applyFont="1" applyFill="1" applyBorder="1" applyAlignment="1">
      <alignment horizontal="right" vertical="center" readingOrder="1"/>
    </xf>
    <xf numFmtId="4" fontId="10" fillId="33" borderId="14" xfId="42" applyNumberFormat="1" applyFont="1" applyFill="1" applyBorder="1" applyAlignment="1">
      <alignment horizontal="right" vertical="center" readingOrder="1"/>
    </xf>
    <xf numFmtId="4" fontId="10" fillId="33" borderId="23" xfId="42" applyNumberFormat="1" applyFont="1" applyFill="1" applyBorder="1" applyAlignment="1">
      <alignment vertical="center" readingOrder="1"/>
    </xf>
    <xf numFmtId="4" fontId="10" fillId="33" borderId="12" xfId="42" applyNumberFormat="1" applyFont="1" applyFill="1" applyBorder="1" applyAlignment="1">
      <alignment vertical="center" readingOrder="1"/>
    </xf>
    <xf numFmtId="4" fontId="10" fillId="33" borderId="23" xfId="0" applyNumberFormat="1" applyFont="1" applyFill="1" applyBorder="1" applyAlignment="1">
      <alignment horizontal="right" vertical="center" readingOrder="1"/>
    </xf>
    <xf numFmtId="4" fontId="10" fillId="33" borderId="12" xfId="0" applyNumberFormat="1" applyFont="1" applyFill="1" applyBorder="1" applyAlignment="1">
      <alignment horizontal="right" vertical="center" readingOrder="1"/>
    </xf>
    <xf numFmtId="3" fontId="10" fillId="33" borderId="14" xfId="42" applyNumberFormat="1" applyFont="1" applyFill="1" applyBorder="1" applyAlignment="1">
      <alignment horizontal="right" vertical="center" readingOrder="1"/>
    </xf>
    <xf numFmtId="43" fontId="10" fillId="33" borderId="14" xfId="42" applyNumberFormat="1" applyFont="1" applyFill="1" applyBorder="1" applyAlignment="1">
      <alignment vertical="center" readingOrder="1"/>
    </xf>
    <xf numFmtId="3" fontId="10" fillId="33" borderId="14" xfId="0" applyNumberFormat="1" applyFont="1" applyFill="1" applyBorder="1" applyAlignment="1">
      <alignment horizontal="center" vertical="center" readingOrder="1"/>
    </xf>
    <xf numFmtId="3" fontId="10" fillId="33" borderId="14" xfId="0" applyNumberFormat="1" applyFont="1" applyFill="1" applyBorder="1" applyAlignment="1">
      <alignment vertical="center" readingOrder="1"/>
    </xf>
    <xf numFmtId="4" fontId="10" fillId="34" borderId="12" xfId="0" applyNumberFormat="1" applyFont="1" applyFill="1" applyBorder="1" applyAlignment="1">
      <alignment horizontal="center" vertical="center" readingOrder="1"/>
    </xf>
    <xf numFmtId="0" fontId="9" fillId="0" borderId="21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left" vertical="center" wrapText="1" readingOrder="1"/>
    </xf>
    <xf numFmtId="0" fontId="18" fillId="0" borderId="12" xfId="0" applyFont="1" applyFill="1" applyBorder="1" applyAlignment="1">
      <alignment horizontal="left" vertical="center" wrapText="1" readingOrder="1"/>
    </xf>
    <xf numFmtId="0" fontId="18" fillId="0" borderId="14" xfId="0" applyFont="1" applyFill="1" applyBorder="1" applyAlignment="1">
      <alignment horizontal="left" vertical="center" wrapText="1" readingOrder="1"/>
    </xf>
    <xf numFmtId="0" fontId="19" fillId="0" borderId="23" xfId="58" applyFont="1" applyFill="1" applyBorder="1" applyAlignment="1">
      <alignment horizontal="left" vertical="center" wrapText="1" readingOrder="1"/>
      <protection/>
    </xf>
    <xf numFmtId="0" fontId="19" fillId="0" borderId="12" xfId="58" applyFont="1" applyFill="1" applyBorder="1" applyAlignment="1">
      <alignment horizontal="left" vertical="center" wrapText="1" readingOrder="1"/>
      <protection/>
    </xf>
    <xf numFmtId="0" fontId="19" fillId="0" borderId="14" xfId="58" applyFont="1" applyFill="1" applyBorder="1" applyAlignment="1">
      <alignment horizontal="left" vertical="center" wrapText="1" readingOrder="1"/>
      <protection/>
    </xf>
    <xf numFmtId="196" fontId="6" fillId="0" borderId="0" xfId="0" applyNumberFormat="1" applyFont="1" applyFill="1" applyBorder="1" applyAlignment="1">
      <alignment vertical="center" readingOrder="1"/>
    </xf>
    <xf numFmtId="0" fontId="9" fillId="0" borderId="23" xfId="58" applyFont="1" applyFill="1" applyBorder="1" applyAlignment="1">
      <alignment horizontal="center" vertical="center" wrapText="1" readingOrder="1"/>
      <protection/>
    </xf>
    <xf numFmtId="43" fontId="10" fillId="0" borderId="23" xfId="42" applyNumberFormat="1" applyFont="1" applyFill="1" applyBorder="1" applyAlignment="1">
      <alignment horizontal="right" vertical="center" readingOrder="1"/>
    </xf>
    <xf numFmtId="0" fontId="9" fillId="0" borderId="12" xfId="58" applyFont="1" applyFill="1" applyBorder="1" applyAlignment="1">
      <alignment horizontal="center" vertical="center" wrapText="1" readingOrder="1"/>
      <protection/>
    </xf>
    <xf numFmtId="43" fontId="10" fillId="0" borderId="12" xfId="42" applyNumberFormat="1" applyFont="1" applyFill="1" applyBorder="1" applyAlignment="1">
      <alignment horizontal="right" vertical="center" readingOrder="1"/>
    </xf>
    <xf numFmtId="0" fontId="9" fillId="0" borderId="14" xfId="0" applyFont="1" applyFill="1" applyBorder="1" applyAlignment="1">
      <alignment horizontal="center" vertical="center" readingOrder="1"/>
    </xf>
    <xf numFmtId="0" fontId="10" fillId="0" borderId="14" xfId="0" applyFont="1" applyFill="1" applyBorder="1" applyAlignment="1">
      <alignment horizontal="right" vertical="center" readingOrder="1"/>
    </xf>
    <xf numFmtId="43" fontId="10" fillId="0" borderId="23" xfId="0" applyNumberFormat="1" applyFont="1" applyFill="1" applyBorder="1" applyAlignment="1">
      <alignment horizontal="right" vertical="center" readingOrder="1"/>
    </xf>
    <xf numFmtId="43" fontId="10" fillId="0" borderId="12" xfId="0" applyNumberFormat="1" applyFont="1" applyFill="1" applyBorder="1" applyAlignment="1">
      <alignment horizontal="right" vertical="center" readingOrder="1"/>
    </xf>
    <xf numFmtId="0" fontId="15" fillId="0" borderId="10" xfId="0" applyFont="1" applyBorder="1" applyAlignment="1">
      <alignment horizontal="center" vertical="center" readingOrder="1"/>
    </xf>
    <xf numFmtId="0" fontId="15" fillId="0" borderId="15" xfId="0" applyFont="1" applyBorder="1" applyAlignment="1">
      <alignment horizontal="center" vertical="center" readingOrder="1"/>
    </xf>
    <xf numFmtId="0" fontId="15" fillId="0" borderId="34" xfId="0" applyFont="1" applyBorder="1" applyAlignment="1">
      <alignment horizontal="center" vertical="center" readingOrder="1"/>
    </xf>
    <xf numFmtId="0" fontId="9" fillId="0" borderId="15" xfId="0" applyFont="1" applyFill="1" applyBorder="1" applyAlignment="1">
      <alignment horizontal="center" vertical="center"/>
    </xf>
    <xf numFmtId="0" fontId="9" fillId="0" borderId="42" xfId="59" applyFont="1" applyFill="1" applyBorder="1" applyAlignment="1">
      <alignment horizontal="center" vertical="center" textRotation="90" readingOrder="1"/>
      <protection/>
    </xf>
    <xf numFmtId="0" fontId="9" fillId="0" borderId="43" xfId="59" applyFont="1" applyFill="1" applyBorder="1" applyAlignment="1">
      <alignment horizontal="center" vertical="center" textRotation="90" readingOrder="1"/>
      <protection/>
    </xf>
    <xf numFmtId="0" fontId="9" fillId="0" borderId="41" xfId="59" applyFont="1" applyFill="1" applyBorder="1" applyAlignment="1">
      <alignment horizontal="center" vertical="center" textRotation="90" readingOrder="1"/>
      <protection/>
    </xf>
    <xf numFmtId="0" fontId="9" fillId="0" borderId="11" xfId="59" applyFont="1" applyFill="1" applyBorder="1" applyAlignment="1">
      <alignment horizontal="center" vertical="center" textRotation="90" readingOrder="1"/>
      <protection/>
    </xf>
    <xf numFmtId="0" fontId="9" fillId="0" borderId="44" xfId="59" applyFont="1" applyFill="1" applyBorder="1" applyAlignment="1">
      <alignment horizontal="center" vertical="center" textRotation="90" readingOrder="1"/>
      <protection/>
    </xf>
    <xf numFmtId="0" fontId="9" fillId="0" borderId="36" xfId="59" applyFont="1" applyFill="1" applyBorder="1" applyAlignment="1">
      <alignment horizontal="center" vertical="center" textRotation="90" readingOrder="1"/>
      <protection/>
    </xf>
    <xf numFmtId="0" fontId="9" fillId="0" borderId="42" xfId="60" applyFont="1" applyFill="1" applyBorder="1" applyAlignment="1">
      <alignment horizontal="center" vertical="center" textRotation="90" readingOrder="1"/>
      <protection/>
    </xf>
    <xf numFmtId="0" fontId="9" fillId="0" borderId="44" xfId="60" applyFont="1" applyFill="1" applyBorder="1" applyAlignment="1">
      <alignment horizontal="center" vertical="center" textRotation="90" readingOrder="1"/>
      <protection/>
    </xf>
    <xf numFmtId="0" fontId="9" fillId="0" borderId="43" xfId="60" applyFont="1" applyFill="1" applyBorder="1" applyAlignment="1">
      <alignment horizontal="center" vertical="center" textRotation="90" readingOrder="1"/>
      <protection/>
    </xf>
    <xf numFmtId="0" fontId="9" fillId="0" borderId="41" xfId="60" applyFont="1" applyFill="1" applyBorder="1" applyAlignment="1">
      <alignment horizontal="center" vertical="center" textRotation="90" readingOrder="1"/>
      <protection/>
    </xf>
    <xf numFmtId="0" fontId="9" fillId="0" borderId="42" xfId="61" applyFont="1" applyFill="1" applyBorder="1" applyAlignment="1">
      <alignment horizontal="center" vertical="center" textRotation="90" wrapText="1" readingOrder="1"/>
      <protection/>
    </xf>
    <xf numFmtId="0" fontId="9" fillId="0" borderId="43" xfId="61" applyFont="1" applyFill="1" applyBorder="1" applyAlignment="1">
      <alignment horizontal="center" vertical="center" textRotation="90" wrapText="1" readingOrder="1"/>
      <protection/>
    </xf>
    <xf numFmtId="0" fontId="9" fillId="0" borderId="41" xfId="61" applyFont="1" applyFill="1" applyBorder="1" applyAlignment="1">
      <alignment horizontal="center" vertical="center" textRotation="90" wrapText="1" readingOrder="1"/>
      <protection/>
    </xf>
    <xf numFmtId="0" fontId="9" fillId="0" borderId="15" xfId="0" applyFont="1" applyFill="1" applyBorder="1" applyAlignment="1">
      <alignment horizontal="center" vertical="center" readingOrder="1"/>
    </xf>
    <xf numFmtId="0" fontId="9" fillId="0" borderId="42" xfId="61" applyFont="1" applyFill="1" applyBorder="1" applyAlignment="1">
      <alignment horizontal="center" vertical="center" textRotation="90" readingOrder="1"/>
      <protection/>
    </xf>
    <xf numFmtId="0" fontId="9" fillId="0" borderId="43" xfId="61" applyFont="1" applyFill="1" applyBorder="1" applyAlignment="1">
      <alignment horizontal="center" vertical="center" textRotation="90" readingOrder="1"/>
      <protection/>
    </xf>
    <xf numFmtId="0" fontId="9" fillId="0" borderId="41" xfId="61" applyFont="1" applyFill="1" applyBorder="1" applyAlignment="1">
      <alignment horizontal="center" vertical="center" textRotation="90" readingOrder="1"/>
      <protection/>
    </xf>
    <xf numFmtId="0" fontId="9" fillId="0" borderId="42" xfId="61" applyFont="1" applyFill="1" applyBorder="1" applyAlignment="1">
      <alignment horizontal="center" vertical="center" textRotation="90" readingOrder="1"/>
      <protection/>
    </xf>
    <xf numFmtId="0" fontId="9" fillId="0" borderId="43" xfId="61" applyFont="1" applyFill="1" applyBorder="1" applyAlignment="1">
      <alignment horizontal="center" vertical="center" textRotation="90" readingOrder="1"/>
      <protection/>
    </xf>
    <xf numFmtId="0" fontId="9" fillId="0" borderId="41" xfId="61" applyFont="1" applyFill="1" applyBorder="1" applyAlignment="1">
      <alignment horizontal="center" vertical="center" textRotation="90" readingOrder="1"/>
      <protection/>
    </xf>
    <xf numFmtId="0" fontId="9" fillId="0" borderId="44" xfId="61" applyFont="1" applyFill="1" applyBorder="1" applyAlignment="1">
      <alignment horizontal="center" vertical="center" textRotation="90" readingOrder="1"/>
      <protection/>
    </xf>
    <xf numFmtId="0" fontId="9" fillId="0" borderId="36" xfId="61" applyFont="1" applyFill="1" applyBorder="1" applyAlignment="1">
      <alignment horizontal="center" vertical="center" textRotation="90" readingOrder="1"/>
      <protection/>
    </xf>
    <xf numFmtId="0" fontId="9" fillId="0" borderId="22" xfId="0" applyFont="1" applyFill="1" applyBorder="1" applyAlignment="1">
      <alignment horizontal="center" vertical="center" wrapText="1" readingOrder="1"/>
    </xf>
    <xf numFmtId="0" fontId="9" fillId="0" borderId="23" xfId="0" applyFont="1" applyFill="1" applyBorder="1" applyAlignment="1">
      <alignment horizontal="center" vertical="center" wrapText="1" readingOrder="1"/>
    </xf>
    <xf numFmtId="0" fontId="9" fillId="0" borderId="38" xfId="0" applyFont="1" applyFill="1" applyBorder="1" applyAlignment="1">
      <alignment horizontal="center" vertical="center" wrapText="1" readingOrder="1"/>
    </xf>
    <xf numFmtId="0" fontId="9" fillId="0" borderId="13" xfId="0" applyFont="1" applyFill="1" applyBorder="1" applyAlignment="1">
      <alignment horizontal="center" vertical="center" wrapText="1" readingOrder="1"/>
    </xf>
    <xf numFmtId="0" fontId="9" fillId="0" borderId="12" xfId="0" applyFont="1" applyFill="1" applyBorder="1" applyAlignment="1">
      <alignment horizontal="center" vertical="center" wrapText="1" readingOrder="1"/>
    </xf>
    <xf numFmtId="0" fontId="9" fillId="0" borderId="45" xfId="0" applyFont="1" applyFill="1" applyBorder="1" applyAlignment="1">
      <alignment horizontal="center" vertical="center" wrapText="1" readingOrder="1"/>
    </xf>
    <xf numFmtId="0" fontId="9" fillId="0" borderId="18" xfId="0" applyFont="1" applyFill="1" applyBorder="1" applyAlignment="1">
      <alignment horizontal="center" vertical="center" wrapText="1" readingOrder="1"/>
    </xf>
    <xf numFmtId="0" fontId="9" fillId="0" borderId="14" xfId="0" applyFont="1" applyFill="1" applyBorder="1" applyAlignment="1">
      <alignment horizontal="center" vertical="center" wrapText="1" readingOrder="1"/>
    </xf>
    <xf numFmtId="0" fontId="9" fillId="0" borderId="39" xfId="0" applyFont="1" applyFill="1" applyBorder="1" applyAlignment="1">
      <alignment horizontal="center" vertical="center" wrapText="1" readingOrder="1"/>
    </xf>
    <xf numFmtId="0" fontId="20" fillId="0" borderId="42" xfId="62" applyFont="1" applyFill="1" applyBorder="1" applyAlignment="1">
      <alignment horizontal="center" vertical="center" wrapText="1" readingOrder="1"/>
      <protection/>
    </xf>
    <xf numFmtId="0" fontId="20" fillId="0" borderId="43" xfId="62" applyFont="1" applyFill="1" applyBorder="1" applyAlignment="1">
      <alignment horizontal="center" vertical="center" wrapText="1" readingOrder="1"/>
      <protection/>
    </xf>
    <xf numFmtId="0" fontId="20" fillId="0" borderId="41" xfId="62" applyFont="1" applyFill="1" applyBorder="1" applyAlignment="1">
      <alignment horizontal="center" vertical="center" wrapText="1" readingOrder="1"/>
      <protection/>
    </xf>
    <xf numFmtId="0" fontId="7" fillId="0" borderId="46" xfId="62" applyFont="1" applyFill="1" applyBorder="1" applyAlignment="1">
      <alignment horizontal="center" vertical="center" wrapText="1" readingOrder="1"/>
      <protection/>
    </xf>
    <xf numFmtId="0" fontId="7" fillId="0" borderId="47" xfId="62" applyFont="1" applyFill="1" applyBorder="1" applyAlignment="1">
      <alignment horizontal="center" vertical="center" wrapText="1" readingOrder="1"/>
      <protection/>
    </xf>
    <xf numFmtId="0" fontId="9" fillId="0" borderId="42" xfId="62" applyFont="1" applyFill="1" applyBorder="1" applyAlignment="1">
      <alignment horizontal="center" vertical="center" textRotation="90" wrapText="1" readingOrder="1"/>
      <protection/>
    </xf>
    <xf numFmtId="0" fontId="9" fillId="0" borderId="43" xfId="62" applyFont="1" applyFill="1" applyBorder="1" applyAlignment="1">
      <alignment horizontal="center" vertical="center" textRotation="90" wrapText="1" readingOrder="1"/>
      <protection/>
    </xf>
    <xf numFmtId="0" fontId="9" fillId="0" borderId="41" xfId="62" applyFont="1" applyFill="1" applyBorder="1" applyAlignment="1">
      <alignment horizontal="center" vertical="center" textRotation="90" wrapText="1" readingOrder="1"/>
      <protection/>
    </xf>
    <xf numFmtId="0" fontId="9" fillId="0" borderId="48" xfId="62" applyFont="1" applyFill="1" applyBorder="1" applyAlignment="1">
      <alignment horizontal="center" vertical="center" textRotation="90" wrapText="1" readingOrder="1"/>
      <protection/>
    </xf>
    <xf numFmtId="0" fontId="9" fillId="0" borderId="46" xfId="62" applyFont="1" applyFill="1" applyBorder="1" applyAlignment="1">
      <alignment horizontal="center" vertical="center" textRotation="90" wrapText="1" readingOrder="1"/>
      <protection/>
    </xf>
    <xf numFmtId="0" fontId="9" fillId="0" borderId="47" xfId="62" applyFont="1" applyFill="1" applyBorder="1" applyAlignment="1">
      <alignment horizontal="center" vertical="center" textRotation="90" wrapText="1" readingOrder="1"/>
      <protection/>
    </xf>
    <xf numFmtId="0" fontId="20" fillId="0" borderId="48" xfId="62" applyFont="1" applyFill="1" applyBorder="1" applyAlignment="1">
      <alignment horizontal="center" vertical="center" wrapText="1" readingOrder="1"/>
      <protection/>
    </xf>
    <xf numFmtId="0" fontId="20" fillId="0" borderId="47" xfId="62" applyFont="1" applyFill="1" applyBorder="1" applyAlignment="1">
      <alignment horizontal="center" vertical="center" wrapText="1" readingOrder="1"/>
      <protection/>
    </xf>
    <xf numFmtId="0" fontId="18" fillId="0" borderId="10" xfId="62" applyFont="1" applyFill="1" applyBorder="1" applyAlignment="1">
      <alignment horizontal="center" vertical="center" wrapText="1" readingOrder="1"/>
      <protection/>
    </xf>
    <xf numFmtId="0" fontId="18" fillId="0" borderId="15" xfId="62" applyFont="1" applyFill="1" applyBorder="1" applyAlignment="1">
      <alignment horizontal="center" vertical="center" wrapText="1" readingOrder="1"/>
      <protection/>
    </xf>
    <xf numFmtId="0" fontId="17" fillId="0" borderId="42" xfId="62" applyFont="1" applyFill="1" applyBorder="1" applyAlignment="1">
      <alignment horizontal="center" vertical="center" textRotation="90" wrapText="1" readingOrder="1"/>
      <protection/>
    </xf>
    <xf numFmtId="0" fontId="17" fillId="0" borderId="43" xfId="62" applyFont="1" applyFill="1" applyBorder="1" applyAlignment="1">
      <alignment horizontal="center" vertical="center" textRotation="90" wrapText="1" readingOrder="1"/>
      <protection/>
    </xf>
    <xf numFmtId="0" fontId="17" fillId="0" borderId="41" xfId="62" applyFont="1" applyFill="1" applyBorder="1" applyAlignment="1">
      <alignment horizontal="center" vertical="center" textRotation="90" wrapText="1" readingOrder="1"/>
      <protection/>
    </xf>
    <xf numFmtId="0" fontId="18" fillId="0" borderId="28" xfId="0" applyFont="1" applyFill="1" applyBorder="1" applyAlignment="1">
      <alignment horizontal="center" vertical="center" wrapText="1" readingOrder="1"/>
    </xf>
    <xf numFmtId="0" fontId="18" fillId="0" borderId="49" xfId="0" applyFont="1" applyFill="1" applyBorder="1" applyAlignment="1">
      <alignment horizontal="center" vertical="center" wrapText="1" readingOrder="1"/>
    </xf>
    <xf numFmtId="0" fontId="18" fillId="0" borderId="10" xfId="0" applyFont="1" applyFill="1" applyBorder="1" applyAlignment="1">
      <alignment horizontal="center" vertical="center" wrapText="1" readingOrder="1"/>
    </xf>
    <xf numFmtId="0" fontId="18" fillId="0" borderId="15" xfId="0" applyFont="1" applyFill="1" applyBorder="1" applyAlignment="1">
      <alignment horizontal="center" vertical="center" wrapText="1" readingOrder="1"/>
    </xf>
    <xf numFmtId="0" fontId="18" fillId="0" borderId="42" xfId="0" applyFont="1" applyFill="1" applyBorder="1" applyAlignment="1">
      <alignment horizontal="center" vertical="center" wrapText="1" readingOrder="1"/>
    </xf>
    <xf numFmtId="0" fontId="0" fillId="0" borderId="41" xfId="0" applyBorder="1" applyAlignment="1">
      <alignment/>
    </xf>
    <xf numFmtId="0" fontId="8" fillId="0" borderId="0" xfId="0" applyFont="1" applyFill="1" applyAlignment="1">
      <alignment horizontal="left" vertical="center" wrapText="1" readingOrder="1"/>
    </xf>
    <xf numFmtId="0" fontId="18" fillId="0" borderId="42" xfId="0" applyFont="1" applyFill="1" applyBorder="1" applyAlignment="1">
      <alignment horizontal="center" vertical="center" textRotation="90" wrapText="1" readingOrder="1"/>
    </xf>
    <xf numFmtId="0" fontId="18" fillId="0" borderId="41" xfId="0" applyFont="1" applyFill="1" applyBorder="1" applyAlignment="1">
      <alignment horizontal="center" vertical="center" textRotation="90" wrapText="1" readingOrder="1"/>
    </xf>
    <xf numFmtId="0" fontId="7" fillId="0" borderId="22" xfId="0" applyFont="1" applyFill="1" applyBorder="1" applyAlignment="1">
      <alignment horizontal="center" vertical="center" wrapText="1" readingOrder="1"/>
    </xf>
    <xf numFmtId="0" fontId="7" fillId="0" borderId="23" xfId="0" applyFont="1" applyFill="1" applyBorder="1" applyAlignment="1">
      <alignment horizontal="center" vertical="center" wrapText="1" readingOrder="1"/>
    </xf>
    <xf numFmtId="0" fontId="7" fillId="0" borderId="18" xfId="0" applyFont="1" applyFill="1" applyBorder="1" applyAlignment="1">
      <alignment horizontal="center" vertical="center" wrapText="1" readingOrder="1"/>
    </xf>
    <xf numFmtId="0" fontId="7" fillId="0" borderId="14" xfId="0" applyFont="1" applyFill="1" applyBorder="1" applyAlignment="1">
      <alignment horizontal="center" vertical="center" wrapText="1" readingOrder="1"/>
    </xf>
    <xf numFmtId="0" fontId="9" fillId="0" borderId="30" xfId="0" applyFont="1" applyFill="1" applyBorder="1" applyAlignment="1">
      <alignment horizontal="center" vertical="center" textRotation="90" wrapText="1" readingOrder="1"/>
    </xf>
    <xf numFmtId="0" fontId="9" fillId="0" borderId="31" xfId="0" applyFont="1" applyFill="1" applyBorder="1" applyAlignment="1">
      <alignment horizontal="center" vertical="center" textRotation="90" wrapText="1" readingOrder="1"/>
    </xf>
    <xf numFmtId="0" fontId="9" fillId="0" borderId="33" xfId="0" applyFont="1" applyFill="1" applyBorder="1" applyAlignment="1">
      <alignment horizontal="center" vertical="center" textRotation="90" wrapText="1" readingOrder="1"/>
    </xf>
    <xf numFmtId="0" fontId="9" fillId="0" borderId="11" xfId="0" applyFont="1" applyFill="1" applyBorder="1" applyAlignment="1">
      <alignment horizontal="center" vertical="center" textRotation="90" wrapText="1" readingOrder="1"/>
    </xf>
    <xf numFmtId="0" fontId="9" fillId="0" borderId="44" xfId="0" applyFont="1" applyFill="1" applyBorder="1" applyAlignment="1">
      <alignment horizontal="center" vertical="center" textRotation="90" wrapText="1" readingOrder="1"/>
    </xf>
    <xf numFmtId="0" fontId="9" fillId="0" borderId="36" xfId="0" applyFont="1" applyFill="1" applyBorder="1" applyAlignment="1">
      <alignment horizontal="center" vertical="center" textRotation="90" wrapText="1" readingOrder="1"/>
    </xf>
    <xf numFmtId="0" fontId="7" fillId="0" borderId="18" xfId="62" applyFont="1" applyFill="1" applyBorder="1" applyAlignment="1">
      <alignment horizontal="center" vertical="center" wrapText="1" readingOrder="1"/>
      <protection/>
    </xf>
    <xf numFmtId="0" fontId="7" fillId="0" borderId="14" xfId="62" applyFont="1" applyFill="1" applyBorder="1" applyAlignment="1">
      <alignment horizontal="center" vertical="center" wrapText="1" readingOrder="1"/>
      <protection/>
    </xf>
    <xf numFmtId="0" fontId="7" fillId="0" borderId="12" xfId="62" applyFont="1" applyFill="1" applyBorder="1" applyAlignment="1">
      <alignment horizontal="center" vertical="center" wrapText="1" readingOrder="1"/>
      <protection/>
    </xf>
    <xf numFmtId="0" fontId="7" fillId="0" borderId="12" xfId="0" applyFont="1" applyFill="1" applyBorder="1" applyAlignment="1">
      <alignment horizontal="center" vertical="center" wrapText="1" readingOrder="1"/>
    </xf>
    <xf numFmtId="0" fontId="7" fillId="0" borderId="13" xfId="62" applyFont="1" applyFill="1" applyBorder="1" applyAlignment="1">
      <alignment horizontal="center" vertical="center" wrapText="1" readingOrder="1"/>
      <protection/>
    </xf>
    <xf numFmtId="0" fontId="7" fillId="0" borderId="13" xfId="0" applyFont="1" applyFill="1" applyBorder="1" applyAlignment="1">
      <alignment horizontal="center" vertical="center" wrapText="1" readingOrder="1"/>
    </xf>
    <xf numFmtId="0" fontId="9" fillId="0" borderId="42" xfId="0" applyFont="1" applyFill="1" applyBorder="1" applyAlignment="1">
      <alignment horizontal="center" vertical="center" textRotation="90" wrapText="1" readingOrder="1"/>
    </xf>
    <xf numFmtId="0" fontId="9" fillId="0" borderId="43" xfId="0" applyFont="1" applyFill="1" applyBorder="1" applyAlignment="1">
      <alignment horizontal="center" vertical="center" textRotation="90" wrapText="1" readingOrder="1"/>
    </xf>
    <xf numFmtId="0" fontId="9" fillId="0" borderId="41" xfId="0" applyFont="1" applyFill="1" applyBorder="1" applyAlignment="1">
      <alignment horizontal="center" vertical="center" textRotation="90" wrapText="1" readingOrder="1"/>
    </xf>
    <xf numFmtId="0" fontId="18" fillId="0" borderId="38" xfId="0" applyFont="1" applyFill="1" applyBorder="1" applyAlignment="1">
      <alignment horizontal="center" vertical="center" wrapText="1" readingOrder="1"/>
    </xf>
    <xf numFmtId="0" fontId="18" fillId="0" borderId="45" xfId="0" applyFont="1" applyFill="1" applyBorder="1" applyAlignment="1">
      <alignment horizontal="center" vertical="center" wrapText="1" readingOrder="1"/>
    </xf>
    <xf numFmtId="0" fontId="18" fillId="0" borderId="39" xfId="0" applyFont="1" applyFill="1" applyBorder="1" applyAlignment="1">
      <alignment horizontal="center" vertical="center" wrapText="1" readingOrder="1"/>
    </xf>
    <xf numFmtId="0" fontId="18" fillId="0" borderId="31" xfId="0" applyFont="1" applyFill="1" applyBorder="1" applyAlignment="1">
      <alignment horizontal="center" vertical="center" wrapText="1" readingOrder="1"/>
    </xf>
    <xf numFmtId="0" fontId="18" fillId="0" borderId="33" xfId="0" applyFont="1" applyFill="1" applyBorder="1" applyAlignment="1">
      <alignment horizontal="center" vertical="center" wrapText="1" readingOrder="1"/>
    </xf>
    <xf numFmtId="0" fontId="9" fillId="0" borderId="50" xfId="0" applyFont="1" applyFill="1" applyBorder="1" applyAlignment="1">
      <alignment horizontal="center" vertical="center" textRotation="90" wrapText="1" readingOrder="1"/>
    </xf>
    <xf numFmtId="0" fontId="9" fillId="0" borderId="51" xfId="0" applyFont="1" applyFill="1" applyBorder="1" applyAlignment="1">
      <alignment horizontal="center" vertical="center" textRotation="90" wrapText="1" readingOrder="1"/>
    </xf>
    <xf numFmtId="0" fontId="18" fillId="0" borderId="15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3" fontId="19" fillId="33" borderId="15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197" fontId="10" fillId="33" borderId="1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 readingOrder="1"/>
    </xf>
    <xf numFmtId="0" fontId="17" fillId="0" borderId="42" xfId="58" applyFont="1" applyFill="1" applyBorder="1" applyAlignment="1">
      <alignment horizontal="center" vertical="center" textRotation="90" readingOrder="1"/>
      <protection/>
    </xf>
    <xf numFmtId="0" fontId="0" fillId="0" borderId="43" xfId="0" applyBorder="1" applyAlignment="1">
      <alignment horizontal="center" vertical="center" textRotation="90" readingOrder="1"/>
    </xf>
    <xf numFmtId="0" fontId="0" fillId="0" borderId="41" xfId="0" applyBorder="1" applyAlignment="1">
      <alignment horizontal="center" vertical="center" textRotation="90" readingOrder="1"/>
    </xf>
    <xf numFmtId="0" fontId="18" fillId="0" borderId="52" xfId="0" applyFont="1" applyFill="1" applyBorder="1" applyAlignment="1">
      <alignment horizontal="center" vertical="center" wrapText="1" readingOrder="1"/>
    </xf>
    <xf numFmtId="0" fontId="18" fillId="0" borderId="53" xfId="0" applyFont="1" applyFill="1" applyBorder="1" applyAlignment="1">
      <alignment horizontal="center" vertical="center" wrapText="1" readingOrder="1"/>
    </xf>
    <xf numFmtId="0" fontId="18" fillId="0" borderId="54" xfId="0" applyFont="1" applyFill="1" applyBorder="1" applyAlignment="1">
      <alignment horizontal="center" vertical="center" wrapText="1" readingOrder="1"/>
    </xf>
    <xf numFmtId="0" fontId="18" fillId="0" borderId="42" xfId="58" applyFont="1" applyFill="1" applyBorder="1" applyAlignment="1">
      <alignment horizontal="center" vertical="center" textRotation="90" wrapText="1" readingOrder="1"/>
      <protection/>
    </xf>
    <xf numFmtId="0" fontId="18" fillId="0" borderId="43" xfId="58" applyFont="1" applyFill="1" applyBorder="1" applyAlignment="1">
      <alignment horizontal="center" vertical="center" textRotation="90" wrapText="1" readingOrder="1"/>
      <protection/>
    </xf>
    <xf numFmtId="0" fontId="18" fillId="0" borderId="41" xfId="58" applyFont="1" applyFill="1" applyBorder="1" applyAlignment="1">
      <alignment horizontal="center" vertical="center" textRotation="90" wrapText="1" readingOrder="1"/>
      <protection/>
    </xf>
    <xf numFmtId="0" fontId="18" fillId="0" borderId="48" xfId="0" applyFont="1" applyFill="1" applyBorder="1" applyAlignment="1">
      <alignment horizontal="center" vertical="center" textRotation="90" readingOrder="1"/>
    </xf>
    <xf numFmtId="0" fontId="18" fillId="0" borderId="46" xfId="0" applyFont="1" applyFill="1" applyBorder="1" applyAlignment="1">
      <alignment horizontal="center" vertical="center" textRotation="90" readingOrder="1"/>
    </xf>
    <xf numFmtId="0" fontId="18" fillId="0" borderId="47" xfId="0" applyFont="1" applyFill="1" applyBorder="1" applyAlignment="1">
      <alignment horizontal="center" vertical="center" textRotation="90" readingOrder="1"/>
    </xf>
    <xf numFmtId="0" fontId="17" fillId="0" borderId="42" xfId="58" applyFont="1" applyFill="1" applyBorder="1" applyAlignment="1">
      <alignment horizontal="center" vertical="center" textRotation="90" wrapText="1" readingOrder="1"/>
      <protection/>
    </xf>
    <xf numFmtId="0" fontId="17" fillId="0" borderId="43" xfId="58" applyFont="1" applyFill="1" applyBorder="1" applyAlignment="1">
      <alignment horizontal="center" vertical="center" textRotation="90" wrapText="1" readingOrder="1"/>
      <protection/>
    </xf>
    <xf numFmtId="0" fontId="17" fillId="0" borderId="41" xfId="58" applyFont="1" applyFill="1" applyBorder="1" applyAlignment="1">
      <alignment horizontal="center" vertical="center" textRotation="90" wrapText="1" readingOrder="1"/>
      <protection/>
    </xf>
    <xf numFmtId="0" fontId="0" fillId="0" borderId="43" xfId="0" applyBorder="1" applyAlignment="1">
      <alignment horizontal="center" vertical="center" textRotation="90" wrapText="1" readingOrder="1"/>
    </xf>
    <xf numFmtId="0" fontId="0" fillId="0" borderId="41" xfId="0" applyBorder="1" applyAlignment="1">
      <alignment horizontal="center" vertical="center" textRotation="90" wrapText="1" readingOrder="1"/>
    </xf>
    <xf numFmtId="0" fontId="18" fillId="0" borderId="42" xfId="0" applyFont="1" applyFill="1" applyBorder="1" applyAlignment="1">
      <alignment horizontal="center" vertical="center" textRotation="90" readingOrder="1"/>
    </xf>
    <xf numFmtId="0" fontId="18" fillId="0" borderId="43" xfId="0" applyFont="1" applyFill="1" applyBorder="1" applyAlignment="1">
      <alignment horizontal="center" vertical="center" textRotation="90" readingOrder="1"/>
    </xf>
    <xf numFmtId="0" fontId="18" fillId="0" borderId="41" xfId="0" applyFont="1" applyFill="1" applyBorder="1" applyAlignment="1">
      <alignment horizontal="center" vertical="center" textRotation="90" readingOrder="1"/>
    </xf>
    <xf numFmtId="0" fontId="18" fillId="0" borderId="11" xfId="58" applyFont="1" applyFill="1" applyBorder="1" applyAlignment="1">
      <alignment horizontal="center" vertical="center" textRotation="90" wrapText="1" readingOrder="1"/>
      <protection/>
    </xf>
    <xf numFmtId="0" fontId="18" fillId="0" borderId="44" xfId="58" applyFont="1" applyFill="1" applyBorder="1" applyAlignment="1">
      <alignment horizontal="center" vertical="center" textRotation="90" wrapText="1" readingOrder="1"/>
      <protection/>
    </xf>
    <xf numFmtId="0" fontId="22" fillId="0" borderId="15" xfId="0" applyFont="1" applyFill="1" applyBorder="1" applyAlignment="1">
      <alignment horizontal="center" vertical="center" wrapText="1" readingOrder="1"/>
    </xf>
    <xf numFmtId="0" fontId="1" fillId="0" borderId="41" xfId="0" applyFont="1" applyFill="1" applyBorder="1" applyAlignment="1">
      <alignment horizontal="center" vertical="center" textRotation="90" readingOrder="1"/>
    </xf>
    <xf numFmtId="0" fontId="18" fillId="0" borderId="30" xfId="58" applyFont="1" applyFill="1" applyBorder="1" applyAlignment="1">
      <alignment horizontal="center" vertical="center" textRotation="90" wrapText="1" readingOrder="1"/>
      <protection/>
    </xf>
    <xf numFmtId="0" fontId="18" fillId="0" borderId="31" xfId="58" applyFont="1" applyFill="1" applyBorder="1" applyAlignment="1">
      <alignment horizontal="center" vertical="center" textRotation="90" wrapText="1" readingOrder="1"/>
      <protection/>
    </xf>
    <xf numFmtId="0" fontId="18" fillId="0" borderId="33" xfId="58" applyFont="1" applyFill="1" applyBorder="1" applyAlignment="1">
      <alignment horizontal="center" vertical="center" textRotation="90" wrapText="1" readingOrder="1"/>
      <protection/>
    </xf>
    <xf numFmtId="0" fontId="18" fillId="0" borderId="30" xfId="0" applyFont="1" applyFill="1" applyBorder="1" applyAlignment="1">
      <alignment horizontal="center" vertical="center" textRotation="90" readingOrder="1"/>
    </xf>
    <xf numFmtId="0" fontId="18" fillId="0" borderId="31" xfId="0" applyFont="1" applyFill="1" applyBorder="1" applyAlignment="1">
      <alignment horizontal="center" vertical="center" textRotation="90" readingOrder="1"/>
    </xf>
    <xf numFmtId="0" fontId="18" fillId="0" borderId="33" xfId="0" applyFont="1" applyFill="1" applyBorder="1" applyAlignment="1">
      <alignment horizontal="center" vertical="center" textRotation="90" readingOrder="1"/>
    </xf>
    <xf numFmtId="0" fontId="18" fillId="0" borderId="52" xfId="0" applyFont="1" applyFill="1" applyBorder="1" applyAlignment="1">
      <alignment horizontal="left" vertical="center" wrapText="1" readingOrder="1"/>
    </xf>
    <xf numFmtId="0" fontId="18" fillId="0" borderId="53" xfId="0" applyFont="1" applyFill="1" applyBorder="1" applyAlignment="1">
      <alignment horizontal="left" vertical="center" wrapText="1" readingOrder="1"/>
    </xf>
    <xf numFmtId="0" fontId="18" fillId="0" borderId="54" xfId="0" applyFont="1" applyFill="1" applyBorder="1" applyAlignment="1">
      <alignment horizontal="left" vertical="center" wrapText="1" readingOrder="1"/>
    </xf>
    <xf numFmtId="0" fontId="9" fillId="0" borderId="30" xfId="0" applyFont="1" applyFill="1" applyBorder="1" applyAlignment="1">
      <alignment horizontal="center" vertical="center" textRotation="90"/>
    </xf>
    <xf numFmtId="0" fontId="9" fillId="0" borderId="31" xfId="0" applyFont="1" applyFill="1" applyBorder="1" applyAlignment="1">
      <alignment horizontal="center" vertical="center" textRotation="90"/>
    </xf>
    <xf numFmtId="0" fontId="9" fillId="0" borderId="18" xfId="0" applyFont="1" applyFill="1" applyBorder="1" applyAlignment="1">
      <alignment horizontal="center" vertical="center" textRotation="90"/>
    </xf>
    <xf numFmtId="0" fontId="9" fillId="0" borderId="11" xfId="58" applyFont="1" applyFill="1" applyBorder="1" applyAlignment="1">
      <alignment horizontal="center" vertical="center" textRotation="90" readingOrder="1"/>
      <protection/>
    </xf>
    <xf numFmtId="0" fontId="9" fillId="0" borderId="44" xfId="58" applyFont="1" applyFill="1" applyBorder="1" applyAlignment="1">
      <alignment horizontal="center" vertical="center" textRotation="90" readingOrder="1"/>
      <protection/>
    </xf>
    <xf numFmtId="0" fontId="9" fillId="0" borderId="43" xfId="58" applyFont="1" applyFill="1" applyBorder="1" applyAlignment="1">
      <alignment horizontal="center" vertical="center" textRotation="90" readingOrder="1"/>
      <protection/>
    </xf>
    <xf numFmtId="4" fontId="10" fillId="33" borderId="12" xfId="42" applyNumberFormat="1" applyFont="1" applyFill="1" applyBorder="1" applyAlignment="1">
      <alignment horizontal="center" vertical="center" readingOrder="1"/>
    </xf>
    <xf numFmtId="4" fontId="10" fillId="33" borderId="23" xfId="42" applyNumberFormat="1" applyFont="1" applyFill="1" applyBorder="1" applyAlignment="1">
      <alignment horizontal="center" vertical="center" readingOrder="1"/>
    </xf>
    <xf numFmtId="0" fontId="9" fillId="0" borderId="33" xfId="0" applyFont="1" applyFill="1" applyBorder="1" applyAlignment="1">
      <alignment horizontal="center" vertical="center" textRotation="90"/>
    </xf>
    <xf numFmtId="0" fontId="9" fillId="0" borderId="15" xfId="0" applyFont="1" applyFill="1" applyBorder="1" applyAlignment="1">
      <alignment horizontal="center" vertical="center" wrapText="1" readingOrder="1"/>
    </xf>
    <xf numFmtId="0" fontId="7" fillId="0" borderId="42" xfId="58" applyFont="1" applyFill="1" applyBorder="1" applyAlignment="1">
      <alignment horizontal="left" vertical="center" wrapText="1" readingOrder="1"/>
      <protection/>
    </xf>
    <xf numFmtId="0" fontId="7" fillId="0" borderId="41" xfId="58" applyFont="1" applyFill="1" applyBorder="1" applyAlignment="1">
      <alignment horizontal="left" vertical="center" wrapText="1" readingOrder="1"/>
      <protection/>
    </xf>
    <xf numFmtId="0" fontId="18" fillId="0" borderId="15" xfId="58" applyFont="1" applyFill="1" applyBorder="1" applyAlignment="1">
      <alignment horizontal="center" vertical="center" wrapText="1" readingOrder="1"/>
      <protection/>
    </xf>
    <xf numFmtId="0" fontId="7" fillId="0" borderId="43" xfId="58" applyFont="1" applyFill="1" applyBorder="1" applyAlignment="1">
      <alignment horizontal="left" vertical="center" wrapText="1" readingOrder="1"/>
      <protection/>
    </xf>
    <xf numFmtId="0" fontId="7" fillId="0" borderId="30" xfId="58" applyFont="1" applyFill="1" applyBorder="1" applyAlignment="1">
      <alignment horizontal="left" vertical="center" wrapText="1" readingOrder="1"/>
      <protection/>
    </xf>
    <xf numFmtId="0" fontId="7" fillId="0" borderId="33" xfId="58" applyFont="1" applyFill="1" applyBorder="1" applyAlignment="1">
      <alignment horizontal="left" vertical="center" wrapText="1" readingOrder="1"/>
      <protection/>
    </xf>
    <xf numFmtId="0" fontId="7" fillId="0" borderId="55" xfId="58" applyFont="1" applyFill="1" applyBorder="1" applyAlignment="1">
      <alignment horizontal="left" vertical="center" wrapText="1" readingOrder="1"/>
      <protection/>
    </xf>
    <xf numFmtId="0" fontId="7" fillId="0" borderId="37" xfId="58" applyFont="1" applyFill="1" applyBorder="1" applyAlignment="1">
      <alignment horizontal="left" vertical="center" wrapText="1" readingOrder="1"/>
      <protection/>
    </xf>
    <xf numFmtId="0" fontId="7" fillId="0" borderId="38" xfId="58" applyFont="1" applyFill="1" applyBorder="1" applyAlignment="1">
      <alignment horizontal="left" vertical="center" wrapText="1" readingOrder="1"/>
      <protection/>
    </xf>
    <xf numFmtId="0" fontId="7" fillId="0" borderId="40" xfId="58" applyFont="1" applyFill="1" applyBorder="1" applyAlignment="1">
      <alignment horizontal="left" vertical="center" wrapText="1" readingOrder="1"/>
      <protection/>
    </xf>
    <xf numFmtId="0" fontId="18" fillId="0" borderId="34" xfId="0" applyFont="1" applyFill="1" applyBorder="1" applyAlignment="1">
      <alignment horizontal="center" vertical="center" wrapText="1" readingOrder="1"/>
    </xf>
    <xf numFmtId="0" fontId="0" fillId="0" borderId="15" xfId="0" applyBorder="1" applyAlignment="1">
      <alignment vertical="center"/>
    </xf>
    <xf numFmtId="0" fontId="7" fillId="0" borderId="31" xfId="58" applyFont="1" applyFill="1" applyBorder="1" applyAlignment="1">
      <alignment horizontal="left" vertical="center" wrapText="1" readingOrder="1"/>
      <protection/>
    </xf>
    <xf numFmtId="0" fontId="18" fillId="0" borderId="21" xfId="0" applyFont="1" applyFill="1" applyBorder="1" applyAlignment="1">
      <alignment horizontal="left" vertical="center" wrapText="1" readingOrder="1"/>
    </xf>
    <xf numFmtId="0" fontId="0" fillId="0" borderId="32" xfId="0" applyBorder="1" applyAlignment="1">
      <alignment horizontal="left" vertical="center" readingOrder="1"/>
    </xf>
    <xf numFmtId="0" fontId="18" fillId="0" borderId="21" xfId="0" applyFont="1" applyFill="1" applyBorder="1" applyAlignment="1">
      <alignment horizontal="center" vertical="center" readingOrder="1"/>
    </xf>
    <xf numFmtId="0" fontId="0" fillId="0" borderId="32" xfId="0" applyBorder="1" applyAlignment="1">
      <alignment vertical="center" readingOrder="1"/>
    </xf>
    <xf numFmtId="0" fontId="18" fillId="0" borderId="13" xfId="0" applyFont="1" applyFill="1" applyBorder="1" applyAlignment="1">
      <alignment horizontal="center" vertical="center" textRotation="90" readingOrder="1"/>
    </xf>
    <xf numFmtId="0" fontId="18" fillId="0" borderId="22" xfId="58" applyFont="1" applyFill="1" applyBorder="1" applyAlignment="1">
      <alignment horizontal="center" vertical="center" textRotation="90" wrapText="1" readingOrder="1"/>
      <protection/>
    </xf>
    <xf numFmtId="0" fontId="18" fillId="0" borderId="13" xfId="58" applyFont="1" applyFill="1" applyBorder="1" applyAlignment="1">
      <alignment horizontal="center" vertical="center" textRotation="90" wrapText="1" readingOrder="1"/>
      <protection/>
    </xf>
    <xf numFmtId="0" fontId="18" fillId="0" borderId="18" xfId="58" applyFont="1" applyFill="1" applyBorder="1" applyAlignment="1">
      <alignment horizontal="center" vertical="center" textRotation="90" wrapText="1" readingOrder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_bourse2" xfId="58"/>
    <cellStyle name="Normal_page_38_39" xfId="59"/>
    <cellStyle name="Normal_page_40_41" xfId="60"/>
    <cellStyle name="Normal_page_42_43" xfId="61"/>
    <cellStyle name="Normal_page_44_45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47" customWidth="1"/>
  </cols>
  <sheetData>
    <row r="1" spans="1:11" ht="26.25" thickBot="1">
      <c r="A1" s="455" t="s">
        <v>452</v>
      </c>
      <c r="B1" s="456"/>
      <c r="C1" s="456"/>
      <c r="D1" s="456"/>
      <c r="E1" s="456"/>
      <c r="F1" s="456"/>
      <c r="G1" s="456"/>
      <c r="H1" s="456"/>
      <c r="I1" s="456"/>
      <c r="J1" s="456"/>
      <c r="K1" s="457"/>
    </row>
  </sheetData>
  <sheetProtection/>
  <mergeCells count="1">
    <mergeCell ref="A1:K1"/>
  </mergeCells>
  <printOptions horizontalCentered="1" verticalCentered="1"/>
  <pageMargins left="0" right="0" top="0.5" bottom="0.5" header="0" footer="0"/>
  <pageSetup firstPageNumber="7" useFirstPageNumber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P15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4.00390625" style="5" customWidth="1"/>
    <col min="2" max="2" width="18.421875" style="5" customWidth="1"/>
    <col min="3" max="3" width="10.57421875" style="5" customWidth="1"/>
    <col min="4" max="16" width="9.140625" style="43" customWidth="1"/>
    <col min="17" max="16384" width="9.140625" style="5" customWidth="1"/>
  </cols>
  <sheetData>
    <row r="1" spans="1:16" ht="19.5" customHeight="1">
      <c r="A1" s="514" t="s">
        <v>45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36"/>
    </row>
    <row r="2" ht="12.75">
      <c r="A2" s="5" t="s">
        <v>303</v>
      </c>
    </row>
    <row r="3" ht="6.75" customHeight="1" thickBot="1"/>
    <row r="4" spans="4:15" ht="13.5" customHeight="1" thickBot="1">
      <c r="D4" s="458">
        <v>2008</v>
      </c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</row>
    <row r="5" spans="4:15" ht="48" thickBot="1">
      <c r="D5" s="67" t="s">
        <v>304</v>
      </c>
      <c r="E5" s="67" t="s">
        <v>305</v>
      </c>
      <c r="F5" s="67" t="s">
        <v>306</v>
      </c>
      <c r="G5" s="67" t="s">
        <v>307</v>
      </c>
      <c r="H5" s="67" t="s">
        <v>308</v>
      </c>
      <c r="I5" s="67" t="s">
        <v>309</v>
      </c>
      <c r="J5" s="67" t="s">
        <v>310</v>
      </c>
      <c r="K5" s="67" t="s">
        <v>311</v>
      </c>
      <c r="L5" s="67" t="s">
        <v>312</v>
      </c>
      <c r="M5" s="67" t="s">
        <v>313</v>
      </c>
      <c r="N5" s="67" t="s">
        <v>314</v>
      </c>
      <c r="O5" s="67" t="s">
        <v>315</v>
      </c>
    </row>
    <row r="6" spans="1:15" ht="39.75" customHeight="1">
      <c r="A6" s="521" t="s">
        <v>46</v>
      </c>
      <c r="B6" s="536" t="s">
        <v>47</v>
      </c>
      <c r="C6" s="187" t="s">
        <v>49</v>
      </c>
      <c r="D6" s="144">
        <v>663.906</v>
      </c>
      <c r="E6" s="144">
        <v>478.002</v>
      </c>
      <c r="F6" s="144">
        <v>583.786</v>
      </c>
      <c r="G6" s="144">
        <v>592.278</v>
      </c>
      <c r="H6" s="144">
        <v>596.121</v>
      </c>
      <c r="I6" s="144">
        <v>856.741</v>
      </c>
      <c r="J6" s="144">
        <v>838.956</v>
      </c>
      <c r="K6" s="144">
        <v>594.065</v>
      </c>
      <c r="L6" s="144">
        <v>722.365</v>
      </c>
      <c r="M6" s="144">
        <v>599.694</v>
      </c>
      <c r="N6" s="144">
        <v>548.382</v>
      </c>
      <c r="O6" s="144">
        <v>467.45</v>
      </c>
    </row>
    <row r="7" spans="1:15" ht="39.75" customHeight="1">
      <c r="A7" s="522"/>
      <c r="B7" s="537"/>
      <c r="C7" s="188" t="s">
        <v>50</v>
      </c>
      <c r="D7" s="105">
        <v>390.018</v>
      </c>
      <c r="E7" s="105">
        <v>312.965</v>
      </c>
      <c r="F7" s="105">
        <v>396.34</v>
      </c>
      <c r="G7" s="105">
        <v>330.995</v>
      </c>
      <c r="H7" s="105">
        <v>481.487</v>
      </c>
      <c r="I7" s="105">
        <v>692.771</v>
      </c>
      <c r="J7" s="105">
        <v>502.129</v>
      </c>
      <c r="K7" s="105">
        <v>532.431</v>
      </c>
      <c r="L7" s="105">
        <v>421.107</v>
      </c>
      <c r="M7" s="105">
        <v>546.894</v>
      </c>
      <c r="N7" s="105">
        <v>799.266</v>
      </c>
      <c r="O7" s="105">
        <v>602.548</v>
      </c>
    </row>
    <row r="8" spans="1:15" ht="39.75" customHeight="1">
      <c r="A8" s="522"/>
      <c r="B8" s="537" t="s">
        <v>48</v>
      </c>
      <c r="C8" s="188" t="s">
        <v>49</v>
      </c>
      <c r="D8" s="105">
        <v>616.073</v>
      </c>
      <c r="E8" s="105">
        <v>489.199</v>
      </c>
      <c r="F8" s="105">
        <v>490.358</v>
      </c>
      <c r="G8" s="105">
        <v>549.881</v>
      </c>
      <c r="H8" s="105">
        <v>605.671</v>
      </c>
      <c r="I8" s="105">
        <v>535.997</v>
      </c>
      <c r="J8" s="105">
        <v>777.638</v>
      </c>
      <c r="K8" s="105">
        <v>701.574</v>
      </c>
      <c r="L8" s="105">
        <v>646.735</v>
      </c>
      <c r="M8" s="105">
        <v>679.337</v>
      </c>
      <c r="N8" s="105">
        <v>575.239</v>
      </c>
      <c r="O8" s="105">
        <v>511.049</v>
      </c>
    </row>
    <row r="9" spans="1:15" s="8" customFormat="1" ht="39.75" customHeight="1">
      <c r="A9" s="522"/>
      <c r="B9" s="537"/>
      <c r="C9" s="188" t="s">
        <v>50</v>
      </c>
      <c r="D9" s="105">
        <v>373.71</v>
      </c>
      <c r="E9" s="105">
        <v>191.912</v>
      </c>
      <c r="F9" s="105">
        <v>304.264</v>
      </c>
      <c r="G9" s="105">
        <v>386.612</v>
      </c>
      <c r="H9" s="105">
        <v>338.707</v>
      </c>
      <c r="I9" s="105">
        <v>687.878</v>
      </c>
      <c r="J9" s="105">
        <v>490.919</v>
      </c>
      <c r="K9" s="105">
        <v>331.145</v>
      </c>
      <c r="L9" s="105">
        <v>416.054</v>
      </c>
      <c r="M9" s="105">
        <v>422.767</v>
      </c>
      <c r="N9" s="105">
        <v>506.812</v>
      </c>
      <c r="O9" s="105">
        <v>421.677</v>
      </c>
    </row>
    <row r="10" spans="1:15" s="9" customFormat="1" ht="39.75" customHeight="1">
      <c r="A10" s="522"/>
      <c r="B10" s="537" t="s">
        <v>51</v>
      </c>
      <c r="C10" s="188" t="s">
        <v>49</v>
      </c>
      <c r="D10" s="105">
        <v>1189.441</v>
      </c>
      <c r="E10" s="105">
        <v>1157.599</v>
      </c>
      <c r="F10" s="105">
        <v>1231.531</v>
      </c>
      <c r="G10" s="105">
        <v>1258.283</v>
      </c>
      <c r="H10" s="105">
        <v>1214.091</v>
      </c>
      <c r="I10" s="105">
        <v>1521.811</v>
      </c>
      <c r="J10" s="105">
        <v>1555.886</v>
      </c>
      <c r="K10" s="105">
        <v>1424.56</v>
      </c>
      <c r="L10" s="105">
        <v>1484.795</v>
      </c>
      <c r="M10" s="105">
        <v>1364.216</v>
      </c>
      <c r="N10" s="105">
        <v>1301.865</v>
      </c>
      <c r="O10" s="105">
        <v>1264.995</v>
      </c>
    </row>
    <row r="11" spans="1:15" s="9" customFormat="1" ht="39.75" customHeight="1" thickBot="1">
      <c r="A11" s="523"/>
      <c r="B11" s="538"/>
      <c r="C11" s="189" t="s">
        <v>50</v>
      </c>
      <c r="D11" s="107">
        <v>1530.646</v>
      </c>
      <c r="E11" s="107">
        <v>1633.873</v>
      </c>
      <c r="F11" s="107">
        <v>1692.53</v>
      </c>
      <c r="G11" s="107">
        <v>1635.6</v>
      </c>
      <c r="H11" s="107">
        <v>1769.026</v>
      </c>
      <c r="I11" s="107">
        <v>1765.738</v>
      </c>
      <c r="J11" s="107">
        <v>1734.185</v>
      </c>
      <c r="K11" s="107">
        <v>1907.543</v>
      </c>
      <c r="L11" s="107">
        <v>1882.207</v>
      </c>
      <c r="M11" s="107">
        <v>1937.746</v>
      </c>
      <c r="N11" s="107">
        <v>2229.445</v>
      </c>
      <c r="O11" s="107">
        <v>2419.6</v>
      </c>
    </row>
    <row r="12" spans="1:15" s="9" customFormat="1" ht="39.75" customHeight="1">
      <c r="A12" s="533" t="s">
        <v>52</v>
      </c>
      <c r="B12" s="183" t="s">
        <v>53</v>
      </c>
      <c r="C12" s="94" t="s">
        <v>49</v>
      </c>
      <c r="D12" s="144">
        <v>233.746</v>
      </c>
      <c r="E12" s="144">
        <v>231.854</v>
      </c>
      <c r="F12" s="144">
        <v>241.3</v>
      </c>
      <c r="G12" s="144">
        <v>248.669</v>
      </c>
      <c r="H12" s="144">
        <v>215.96</v>
      </c>
      <c r="I12" s="144">
        <v>224.588</v>
      </c>
      <c r="J12" s="144">
        <v>324.313</v>
      </c>
      <c r="K12" s="144">
        <v>221.052</v>
      </c>
      <c r="L12" s="144">
        <v>268.629</v>
      </c>
      <c r="M12" s="144">
        <v>210.779</v>
      </c>
      <c r="N12" s="144">
        <v>175.402</v>
      </c>
      <c r="O12" s="144">
        <v>186.85</v>
      </c>
    </row>
    <row r="13" spans="1:15" s="9" customFormat="1" ht="39.75" customHeight="1">
      <c r="A13" s="534"/>
      <c r="B13" s="184" t="s">
        <v>54</v>
      </c>
      <c r="C13" s="97" t="s">
        <v>50</v>
      </c>
      <c r="D13" s="105">
        <v>631.531</v>
      </c>
      <c r="E13" s="105">
        <v>517.471</v>
      </c>
      <c r="F13" s="105">
        <v>673.676</v>
      </c>
      <c r="G13" s="105">
        <v>627.722</v>
      </c>
      <c r="H13" s="105">
        <v>686.575</v>
      </c>
      <c r="I13" s="105">
        <v>678.821</v>
      </c>
      <c r="J13" s="105">
        <v>790.702</v>
      </c>
      <c r="K13" s="105">
        <v>658.401</v>
      </c>
      <c r="L13" s="105">
        <v>662.917</v>
      </c>
      <c r="M13" s="105">
        <v>709.515</v>
      </c>
      <c r="N13" s="105">
        <v>546.449</v>
      </c>
      <c r="O13" s="105">
        <v>585.604</v>
      </c>
    </row>
    <row r="14" spans="1:15" s="9" customFormat="1" ht="39.75" customHeight="1">
      <c r="A14" s="534"/>
      <c r="B14" s="539" t="s">
        <v>55</v>
      </c>
      <c r="C14" s="97" t="s">
        <v>49</v>
      </c>
      <c r="D14" s="105">
        <v>149.841</v>
      </c>
      <c r="E14" s="105">
        <v>132.336</v>
      </c>
      <c r="F14" s="105">
        <v>152.258</v>
      </c>
      <c r="G14" s="105">
        <v>181.414</v>
      </c>
      <c r="H14" s="105">
        <v>160.063</v>
      </c>
      <c r="I14" s="105">
        <v>154.903</v>
      </c>
      <c r="J14" s="105">
        <v>191.179</v>
      </c>
      <c r="K14" s="105">
        <v>178.311</v>
      </c>
      <c r="L14" s="105">
        <v>178.39</v>
      </c>
      <c r="M14" s="105">
        <v>182.479</v>
      </c>
      <c r="N14" s="105">
        <v>137.419</v>
      </c>
      <c r="O14" s="105">
        <v>170.42</v>
      </c>
    </row>
    <row r="15" spans="1:15" s="9" customFormat="1" ht="39.75" customHeight="1" thickBot="1">
      <c r="A15" s="535"/>
      <c r="B15" s="540"/>
      <c r="C15" s="98" t="s">
        <v>50</v>
      </c>
      <c r="D15" s="107">
        <v>407.611</v>
      </c>
      <c r="E15" s="107">
        <v>432.19</v>
      </c>
      <c r="F15" s="107">
        <v>455.514</v>
      </c>
      <c r="G15" s="107">
        <v>461.562</v>
      </c>
      <c r="H15" s="107">
        <v>478.831</v>
      </c>
      <c r="I15" s="107">
        <v>459.62</v>
      </c>
      <c r="J15" s="107">
        <v>488.145</v>
      </c>
      <c r="K15" s="107">
        <v>520.666</v>
      </c>
      <c r="L15" s="107">
        <v>563.779</v>
      </c>
      <c r="M15" s="107">
        <v>521.968</v>
      </c>
      <c r="N15" s="107">
        <v>550.241</v>
      </c>
      <c r="O15" s="107">
        <v>587.934</v>
      </c>
    </row>
  </sheetData>
  <sheetProtection/>
  <mergeCells count="8">
    <mergeCell ref="A12:A15"/>
    <mergeCell ref="A1:O1"/>
    <mergeCell ref="D4:O4"/>
    <mergeCell ref="A6:A11"/>
    <mergeCell ref="B6:B7"/>
    <mergeCell ref="B8:B9"/>
    <mergeCell ref="B10:B11"/>
    <mergeCell ref="B14:B15"/>
  </mergeCells>
  <printOptions horizontalCentered="1"/>
  <pageMargins left="0" right="0" top="0.5" bottom="0.5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R71"/>
  <sheetViews>
    <sheetView zoomScalePageLayoutView="0" workbookViewId="0" topLeftCell="A25">
      <selection activeCell="A33" sqref="A33"/>
    </sheetView>
  </sheetViews>
  <sheetFormatPr defaultColWidth="9.140625" defaultRowHeight="12.75"/>
  <cols>
    <col min="1" max="1" width="29.421875" style="5" customWidth="1"/>
    <col min="2" max="13" width="9.57421875" style="43" customWidth="1"/>
    <col min="14" max="14" width="9.140625" style="43" customWidth="1"/>
    <col min="15" max="16" width="9.140625" style="5" customWidth="1"/>
    <col min="17" max="17" width="8.8515625" style="5" bestFit="1" customWidth="1"/>
    <col min="18" max="16384" width="9.140625" style="5" customWidth="1"/>
  </cols>
  <sheetData>
    <row r="1" spans="1:14" ht="19.5" customHeight="1">
      <c r="A1" s="514" t="s">
        <v>56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36"/>
    </row>
    <row r="2" ht="12.75" customHeight="1">
      <c r="A2" s="5" t="s">
        <v>303</v>
      </c>
    </row>
    <row r="3" ht="6.75" customHeight="1" thickBot="1"/>
    <row r="4" spans="2:13" ht="13.5" customHeight="1" thickBot="1">
      <c r="B4" s="458">
        <v>2008</v>
      </c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</row>
    <row r="5" spans="2:13" ht="48" thickBot="1">
      <c r="B5" s="67" t="s">
        <v>304</v>
      </c>
      <c r="C5" s="67" t="s">
        <v>305</v>
      </c>
      <c r="D5" s="67" t="s">
        <v>306</v>
      </c>
      <c r="E5" s="67" t="s">
        <v>307</v>
      </c>
      <c r="F5" s="67" t="s">
        <v>308</v>
      </c>
      <c r="G5" s="67" t="s">
        <v>309</v>
      </c>
      <c r="H5" s="67" t="s">
        <v>310</v>
      </c>
      <c r="I5" s="67" t="s">
        <v>311</v>
      </c>
      <c r="J5" s="67" t="s">
        <v>312</v>
      </c>
      <c r="K5" s="67" t="s">
        <v>313</v>
      </c>
      <c r="L5" s="67" t="s">
        <v>314</v>
      </c>
      <c r="M5" s="67" t="s">
        <v>315</v>
      </c>
    </row>
    <row r="6" spans="1:13" ht="19.5" customHeight="1">
      <c r="A6" s="187" t="s">
        <v>57</v>
      </c>
      <c r="B6" s="174">
        <v>551</v>
      </c>
      <c r="C6" s="174">
        <v>551</v>
      </c>
      <c r="D6" s="174">
        <v>550</v>
      </c>
      <c r="E6" s="174">
        <v>550</v>
      </c>
      <c r="F6" s="174">
        <v>549</v>
      </c>
      <c r="G6" s="174">
        <v>549</v>
      </c>
      <c r="H6" s="174">
        <v>553</v>
      </c>
      <c r="I6" s="174">
        <v>551</v>
      </c>
      <c r="J6" s="174">
        <v>555</v>
      </c>
      <c r="K6" s="174">
        <v>563</v>
      </c>
      <c r="L6" s="174">
        <v>565</v>
      </c>
      <c r="M6" s="174">
        <v>567</v>
      </c>
    </row>
    <row r="7" spans="1:13" ht="19.5" customHeight="1">
      <c r="A7" s="188" t="s">
        <v>58</v>
      </c>
      <c r="B7" s="175">
        <v>226</v>
      </c>
      <c r="C7" s="175">
        <v>224</v>
      </c>
      <c r="D7" s="175">
        <v>228</v>
      </c>
      <c r="E7" s="175">
        <v>226</v>
      </c>
      <c r="F7" s="175">
        <v>232</v>
      </c>
      <c r="G7" s="175">
        <v>236</v>
      </c>
      <c r="H7" s="175">
        <v>237</v>
      </c>
      <c r="I7" s="175">
        <v>238</v>
      </c>
      <c r="J7" s="175">
        <v>241</v>
      </c>
      <c r="K7" s="175">
        <v>244</v>
      </c>
      <c r="L7" s="175">
        <v>244</v>
      </c>
      <c r="M7" s="175">
        <v>247</v>
      </c>
    </row>
    <row r="8" spans="1:13" ht="19.5" customHeight="1">
      <c r="A8" s="188" t="s">
        <v>59</v>
      </c>
      <c r="B8" s="175">
        <v>107</v>
      </c>
      <c r="C8" s="175">
        <v>107</v>
      </c>
      <c r="D8" s="175">
        <v>109</v>
      </c>
      <c r="E8" s="175">
        <v>110</v>
      </c>
      <c r="F8" s="175">
        <v>110</v>
      </c>
      <c r="G8" s="175">
        <v>110</v>
      </c>
      <c r="H8" s="175">
        <v>111</v>
      </c>
      <c r="I8" s="175">
        <v>111</v>
      </c>
      <c r="J8" s="175">
        <v>121</v>
      </c>
      <c r="K8" s="175">
        <v>121</v>
      </c>
      <c r="L8" s="175">
        <v>121</v>
      </c>
      <c r="M8" s="175">
        <v>124</v>
      </c>
    </row>
    <row r="9" spans="1:13" s="8" customFormat="1" ht="19.5" customHeight="1">
      <c r="A9" s="188" t="s">
        <v>60</v>
      </c>
      <c r="B9" s="175">
        <v>89</v>
      </c>
      <c r="C9" s="175">
        <v>89</v>
      </c>
      <c r="D9" s="175">
        <v>91</v>
      </c>
      <c r="E9" s="175">
        <v>91</v>
      </c>
      <c r="F9" s="175">
        <v>90</v>
      </c>
      <c r="G9" s="175">
        <v>91</v>
      </c>
      <c r="H9" s="175">
        <v>93</v>
      </c>
      <c r="I9" s="175">
        <v>93</v>
      </c>
      <c r="J9" s="175">
        <v>94</v>
      </c>
      <c r="K9" s="175">
        <v>94</v>
      </c>
      <c r="L9" s="175">
        <v>95</v>
      </c>
      <c r="M9" s="175">
        <v>96</v>
      </c>
    </row>
    <row r="10" spans="1:13" s="9" customFormat="1" ht="19.5" customHeight="1">
      <c r="A10" s="188" t="s">
        <v>402</v>
      </c>
      <c r="B10" s="175">
        <v>17</v>
      </c>
      <c r="C10" s="175">
        <v>17</v>
      </c>
      <c r="D10" s="175">
        <v>17</v>
      </c>
      <c r="E10" s="175">
        <v>17</v>
      </c>
      <c r="F10" s="175">
        <v>18</v>
      </c>
      <c r="G10" s="175">
        <v>17</v>
      </c>
      <c r="H10" s="175">
        <v>19</v>
      </c>
      <c r="I10" s="175">
        <v>19</v>
      </c>
      <c r="J10" s="175">
        <v>19</v>
      </c>
      <c r="K10" s="175">
        <v>19</v>
      </c>
      <c r="L10" s="175">
        <v>19</v>
      </c>
      <c r="M10" s="175">
        <v>20</v>
      </c>
    </row>
    <row r="11" spans="1:13" s="9" customFormat="1" ht="19.5" customHeight="1" thickBot="1">
      <c r="A11" s="190" t="s">
        <v>61</v>
      </c>
      <c r="B11" s="191">
        <v>79</v>
      </c>
      <c r="C11" s="191">
        <v>80</v>
      </c>
      <c r="D11" s="191">
        <v>80</v>
      </c>
      <c r="E11" s="191">
        <v>83</v>
      </c>
      <c r="F11" s="191">
        <v>80</v>
      </c>
      <c r="G11" s="191">
        <v>81</v>
      </c>
      <c r="H11" s="191">
        <v>82</v>
      </c>
      <c r="I11" s="191">
        <v>83</v>
      </c>
      <c r="J11" s="191">
        <v>85</v>
      </c>
      <c r="K11" s="191">
        <v>85</v>
      </c>
      <c r="L11" s="191">
        <v>86</v>
      </c>
      <c r="M11" s="191">
        <v>86</v>
      </c>
    </row>
    <row r="12" spans="1:13" ht="19.5" customHeight="1" thickBot="1">
      <c r="A12" s="118" t="s">
        <v>62</v>
      </c>
      <c r="B12" s="192">
        <f>SUM(B6:B11)</f>
        <v>1069</v>
      </c>
      <c r="C12" s="192">
        <f aca="true" t="shared" si="0" ref="C12:M12">SUM(C6:C11)</f>
        <v>1068</v>
      </c>
      <c r="D12" s="192">
        <f t="shared" si="0"/>
        <v>1075</v>
      </c>
      <c r="E12" s="192">
        <f t="shared" si="0"/>
        <v>1077</v>
      </c>
      <c r="F12" s="192">
        <f t="shared" si="0"/>
        <v>1079</v>
      </c>
      <c r="G12" s="192">
        <f t="shared" si="0"/>
        <v>1084</v>
      </c>
      <c r="H12" s="192">
        <f t="shared" si="0"/>
        <v>1095</v>
      </c>
      <c r="I12" s="192">
        <f t="shared" si="0"/>
        <v>1095</v>
      </c>
      <c r="J12" s="192">
        <f t="shared" si="0"/>
        <v>1115</v>
      </c>
      <c r="K12" s="192">
        <f t="shared" si="0"/>
        <v>1126</v>
      </c>
      <c r="L12" s="192">
        <f t="shared" si="0"/>
        <v>1130</v>
      </c>
      <c r="M12" s="192">
        <f t="shared" si="0"/>
        <v>1140</v>
      </c>
    </row>
    <row r="14" spans="1:13" ht="19.5" customHeight="1">
      <c r="A14" s="514" t="s">
        <v>63</v>
      </c>
      <c r="B14" s="514"/>
      <c r="C14" s="514"/>
      <c r="D14" s="514"/>
      <c r="E14" s="514"/>
      <c r="F14" s="514"/>
      <c r="G14" s="514"/>
      <c r="H14" s="514"/>
      <c r="I14" s="514"/>
      <c r="J14" s="514"/>
      <c r="K14" s="514"/>
      <c r="L14" s="514"/>
      <c r="M14" s="514"/>
    </row>
    <row r="15" ht="12.75" customHeight="1">
      <c r="A15" s="5" t="s">
        <v>303</v>
      </c>
    </row>
    <row r="16" ht="6.75" customHeight="1" thickBot="1"/>
    <row r="17" spans="2:13" ht="12.75" customHeight="1" thickBot="1">
      <c r="B17" s="458">
        <v>2008</v>
      </c>
      <c r="C17" s="458"/>
      <c r="D17" s="458"/>
      <c r="E17" s="458"/>
      <c r="F17" s="458"/>
      <c r="G17" s="458"/>
      <c r="H17" s="458"/>
      <c r="I17" s="458"/>
      <c r="J17" s="458"/>
      <c r="K17" s="458"/>
      <c r="L17" s="458"/>
      <c r="M17" s="458"/>
    </row>
    <row r="18" spans="2:13" ht="48" thickBot="1">
      <c r="B18" s="67" t="s">
        <v>304</v>
      </c>
      <c r="C18" s="67" t="s">
        <v>305</v>
      </c>
      <c r="D18" s="67" t="s">
        <v>306</v>
      </c>
      <c r="E18" s="67" t="s">
        <v>307</v>
      </c>
      <c r="F18" s="67" t="s">
        <v>308</v>
      </c>
      <c r="G18" s="67" t="s">
        <v>309</v>
      </c>
      <c r="H18" s="67" t="s">
        <v>310</v>
      </c>
      <c r="I18" s="67" t="s">
        <v>311</v>
      </c>
      <c r="J18" s="67" t="s">
        <v>312</v>
      </c>
      <c r="K18" s="67" t="s">
        <v>313</v>
      </c>
      <c r="L18" s="67" t="s">
        <v>314</v>
      </c>
      <c r="M18" s="67" t="s">
        <v>315</v>
      </c>
    </row>
    <row r="19" spans="1:13" ht="19.5" customHeight="1">
      <c r="A19" s="187" t="s">
        <v>64</v>
      </c>
      <c r="B19" s="144">
        <v>47232</v>
      </c>
      <c r="C19" s="144">
        <v>47461</v>
      </c>
      <c r="D19" s="144">
        <v>47768</v>
      </c>
      <c r="E19" s="144">
        <v>48060</v>
      </c>
      <c r="F19" s="144">
        <v>48369</v>
      </c>
      <c r="G19" s="144">
        <v>48713</v>
      </c>
      <c r="H19" s="144">
        <v>44861</v>
      </c>
      <c r="I19" s="144">
        <v>45222</v>
      </c>
      <c r="J19" s="144">
        <v>45596</v>
      </c>
      <c r="K19" s="144">
        <v>45920</v>
      </c>
      <c r="L19" s="144">
        <v>45344</v>
      </c>
      <c r="M19" s="144">
        <v>44547</v>
      </c>
    </row>
    <row r="20" spans="1:13" ht="19.5" customHeight="1">
      <c r="A20" s="188" t="s">
        <v>65</v>
      </c>
      <c r="B20" s="105">
        <v>26126</v>
      </c>
      <c r="C20" s="105">
        <v>26202</v>
      </c>
      <c r="D20" s="105">
        <v>26075</v>
      </c>
      <c r="E20" s="105">
        <v>26202</v>
      </c>
      <c r="F20" s="105">
        <v>26325</v>
      </c>
      <c r="G20" s="105">
        <v>26373</v>
      </c>
      <c r="H20" s="105">
        <v>24661</v>
      </c>
      <c r="I20" s="105">
        <v>24681</v>
      </c>
      <c r="J20" s="105">
        <v>24807</v>
      </c>
      <c r="K20" s="105">
        <v>24814</v>
      </c>
      <c r="L20" s="105">
        <v>26009</v>
      </c>
      <c r="M20" s="105">
        <v>22976</v>
      </c>
    </row>
    <row r="21" spans="1:13" ht="19.5" customHeight="1" thickBot="1">
      <c r="A21" s="190" t="s">
        <v>66</v>
      </c>
      <c r="B21" s="195">
        <v>13397</v>
      </c>
      <c r="C21" s="195">
        <v>13502</v>
      </c>
      <c r="D21" s="195">
        <v>13651</v>
      </c>
      <c r="E21" s="195">
        <v>13800</v>
      </c>
      <c r="F21" s="195">
        <v>13931</v>
      </c>
      <c r="G21" s="195">
        <v>14180</v>
      </c>
      <c r="H21" s="195">
        <v>14416</v>
      </c>
      <c r="I21" s="195">
        <v>14564</v>
      </c>
      <c r="J21" s="195">
        <v>14705</v>
      </c>
      <c r="K21" s="195">
        <v>14895</v>
      </c>
      <c r="L21" s="195">
        <v>13042</v>
      </c>
      <c r="M21" s="195">
        <v>15255</v>
      </c>
    </row>
    <row r="22" spans="1:13" ht="19.5" customHeight="1" thickBot="1">
      <c r="A22" s="118" t="s">
        <v>62</v>
      </c>
      <c r="B22" s="196">
        <f>SUM(B19:B21)</f>
        <v>86755</v>
      </c>
      <c r="C22" s="196">
        <f aca="true" t="shared" si="1" ref="C22:M22">SUM(C19:C21)</f>
        <v>87165</v>
      </c>
      <c r="D22" s="196">
        <f t="shared" si="1"/>
        <v>87494</v>
      </c>
      <c r="E22" s="196">
        <f t="shared" si="1"/>
        <v>88062</v>
      </c>
      <c r="F22" s="196">
        <f t="shared" si="1"/>
        <v>88625</v>
      </c>
      <c r="G22" s="196">
        <f t="shared" si="1"/>
        <v>89266</v>
      </c>
      <c r="H22" s="196">
        <f t="shared" si="1"/>
        <v>83938</v>
      </c>
      <c r="I22" s="196">
        <f t="shared" si="1"/>
        <v>84467</v>
      </c>
      <c r="J22" s="196">
        <f t="shared" si="1"/>
        <v>85108</v>
      </c>
      <c r="K22" s="196">
        <f t="shared" si="1"/>
        <v>85629</v>
      </c>
      <c r="L22" s="196">
        <f t="shared" si="1"/>
        <v>84395</v>
      </c>
      <c r="M22" s="196">
        <f t="shared" si="1"/>
        <v>82778</v>
      </c>
    </row>
    <row r="30" spans="1:13" ht="19.5" customHeight="1">
      <c r="A30" s="514" t="s">
        <v>67</v>
      </c>
      <c r="B30" s="514"/>
      <c r="C30" s="514"/>
      <c r="D30" s="514"/>
      <c r="E30" s="514"/>
      <c r="F30" s="514"/>
      <c r="G30" s="514"/>
      <c r="H30" s="514"/>
      <c r="I30" s="514"/>
      <c r="J30" s="514"/>
      <c r="K30" s="514"/>
      <c r="L30" s="514"/>
      <c r="M30" s="514"/>
    </row>
    <row r="31" ht="12.75" customHeight="1">
      <c r="A31" s="5" t="s">
        <v>303</v>
      </c>
    </row>
    <row r="32" ht="6.75" customHeight="1" thickBot="1"/>
    <row r="33" spans="2:13" ht="13.5" customHeight="1" thickBot="1">
      <c r="B33" s="458">
        <v>2008</v>
      </c>
      <c r="C33" s="458"/>
      <c r="D33" s="458"/>
      <c r="E33" s="458"/>
      <c r="F33" s="458"/>
      <c r="G33" s="458"/>
      <c r="H33" s="458"/>
      <c r="I33" s="458"/>
      <c r="J33" s="458"/>
      <c r="K33" s="458"/>
      <c r="L33" s="458"/>
      <c r="M33" s="458"/>
    </row>
    <row r="34" spans="2:13" ht="48" thickBot="1">
      <c r="B34" s="67" t="s">
        <v>304</v>
      </c>
      <c r="C34" s="67" t="s">
        <v>305</v>
      </c>
      <c r="D34" s="67" t="s">
        <v>306</v>
      </c>
      <c r="E34" s="67" t="s">
        <v>307</v>
      </c>
      <c r="F34" s="67" t="s">
        <v>308</v>
      </c>
      <c r="G34" s="67" t="s">
        <v>309</v>
      </c>
      <c r="H34" s="67" t="s">
        <v>310</v>
      </c>
      <c r="I34" s="67" t="s">
        <v>311</v>
      </c>
      <c r="J34" s="67" t="s">
        <v>312</v>
      </c>
      <c r="K34" s="67" t="s">
        <v>313</v>
      </c>
      <c r="L34" s="67" t="s">
        <v>314</v>
      </c>
      <c r="M34" s="67" t="s">
        <v>315</v>
      </c>
    </row>
    <row r="35" spans="1:13" ht="22.5">
      <c r="A35" s="187" t="s">
        <v>68</v>
      </c>
      <c r="B35" s="174">
        <v>10.4</v>
      </c>
      <c r="C35" s="174">
        <v>11.22</v>
      </c>
      <c r="D35" s="174">
        <v>11.02</v>
      </c>
      <c r="E35" s="174">
        <v>10.04</v>
      </c>
      <c r="F35" s="174">
        <v>11.12</v>
      </c>
      <c r="G35" s="174">
        <v>10.84</v>
      </c>
      <c r="H35" s="174">
        <v>10.96</v>
      </c>
      <c r="I35" s="174">
        <v>10.22</v>
      </c>
      <c r="J35" s="174">
        <v>11.57</v>
      </c>
      <c r="K35" s="174">
        <v>10.57</v>
      </c>
      <c r="L35" s="174">
        <v>10.94</v>
      </c>
      <c r="M35" s="174">
        <v>10.27</v>
      </c>
    </row>
    <row r="36" spans="1:13" ht="23.25" thickBot="1">
      <c r="A36" s="189" t="s">
        <v>69</v>
      </c>
      <c r="B36" s="176">
        <v>60.93</v>
      </c>
      <c r="C36" s="176">
        <v>65.98</v>
      </c>
      <c r="D36" s="176">
        <v>67.47</v>
      </c>
      <c r="E36" s="176">
        <v>64.43</v>
      </c>
      <c r="F36" s="176">
        <v>66.43</v>
      </c>
      <c r="G36" s="176">
        <v>64.87</v>
      </c>
      <c r="H36" s="176">
        <v>64.08</v>
      </c>
      <c r="I36" s="176">
        <v>62.78</v>
      </c>
      <c r="J36" s="176">
        <v>67.79</v>
      </c>
      <c r="K36" s="176">
        <v>61.79</v>
      </c>
      <c r="L36" s="176">
        <v>66.62</v>
      </c>
      <c r="M36" s="176">
        <v>70.29</v>
      </c>
    </row>
    <row r="38" spans="1:13" ht="19.5" customHeight="1">
      <c r="A38" s="514" t="s">
        <v>70</v>
      </c>
      <c r="B38" s="514"/>
      <c r="C38" s="514"/>
      <c r="D38" s="514"/>
      <c r="E38" s="514"/>
      <c r="F38" s="514"/>
      <c r="G38" s="514"/>
      <c r="H38" s="514"/>
      <c r="I38" s="514"/>
      <c r="J38" s="514"/>
      <c r="K38" s="514"/>
      <c r="L38" s="514"/>
      <c r="M38" s="514"/>
    </row>
    <row r="39" ht="12.75" customHeight="1">
      <c r="A39" s="5" t="s">
        <v>303</v>
      </c>
    </row>
    <row r="40" ht="6.75" customHeight="1" thickBot="1"/>
    <row r="41" spans="2:13" ht="13.5" customHeight="1" thickBot="1">
      <c r="B41" s="458">
        <v>2008</v>
      </c>
      <c r="C41" s="458"/>
      <c r="D41" s="458"/>
      <c r="E41" s="458"/>
      <c r="F41" s="458"/>
      <c r="G41" s="458"/>
      <c r="H41" s="458"/>
      <c r="I41" s="458"/>
      <c r="J41" s="458"/>
      <c r="K41" s="458"/>
      <c r="L41" s="458"/>
      <c r="M41" s="458"/>
    </row>
    <row r="42" spans="2:13" ht="48" thickBot="1">
      <c r="B42" s="67" t="s">
        <v>304</v>
      </c>
      <c r="C42" s="67" t="s">
        <v>305</v>
      </c>
      <c r="D42" s="67" t="s">
        <v>306</v>
      </c>
      <c r="E42" s="67" t="s">
        <v>307</v>
      </c>
      <c r="F42" s="67" t="s">
        <v>308</v>
      </c>
      <c r="G42" s="67" t="s">
        <v>309</v>
      </c>
      <c r="H42" s="67" t="s">
        <v>310</v>
      </c>
      <c r="I42" s="67" t="s">
        <v>311</v>
      </c>
      <c r="J42" s="67" t="s">
        <v>312</v>
      </c>
      <c r="K42" s="67" t="s">
        <v>313</v>
      </c>
      <c r="L42" s="67" t="s">
        <v>314</v>
      </c>
      <c r="M42" s="67" t="s">
        <v>315</v>
      </c>
    </row>
    <row r="43" spans="1:13" ht="19.5" customHeight="1">
      <c r="A43" s="187" t="s">
        <v>71</v>
      </c>
      <c r="B43" s="174">
        <v>1380067</v>
      </c>
      <c r="C43" s="174">
        <v>1390729</v>
      </c>
      <c r="D43" s="174">
        <v>1410426</v>
      </c>
      <c r="E43" s="174">
        <v>1430485</v>
      </c>
      <c r="F43" s="174">
        <v>1437362</v>
      </c>
      <c r="G43" s="174">
        <v>1451366</v>
      </c>
      <c r="H43" s="174">
        <v>1465607</v>
      </c>
      <c r="I43" s="174">
        <v>1478760</v>
      </c>
      <c r="J43" s="174">
        <v>1492888</v>
      </c>
      <c r="K43" s="174">
        <v>1499907</v>
      </c>
      <c r="L43" s="174">
        <v>1515635</v>
      </c>
      <c r="M43" s="174">
        <v>1519298</v>
      </c>
    </row>
    <row r="44" spans="1:13" ht="19.5" customHeight="1" thickBot="1">
      <c r="A44" s="190" t="s">
        <v>72</v>
      </c>
      <c r="B44" s="191">
        <v>51028</v>
      </c>
      <c r="C44" s="191">
        <v>50890</v>
      </c>
      <c r="D44" s="191">
        <v>49572</v>
      </c>
      <c r="E44" s="191">
        <v>51421</v>
      </c>
      <c r="F44" s="191">
        <v>51142</v>
      </c>
      <c r="G44" s="191">
        <v>50720</v>
      </c>
      <c r="H44" s="191">
        <v>49873</v>
      </c>
      <c r="I44" s="191">
        <v>49375</v>
      </c>
      <c r="J44" s="191">
        <v>48335</v>
      </c>
      <c r="K44" s="191">
        <v>47083</v>
      </c>
      <c r="L44" s="191">
        <v>46399</v>
      </c>
      <c r="M44" s="191">
        <v>44660</v>
      </c>
    </row>
    <row r="45" spans="1:13" ht="19.5" customHeight="1" thickBot="1">
      <c r="A45" s="118" t="s">
        <v>389</v>
      </c>
      <c r="B45" s="207">
        <f>SUM(B43:B44)</f>
        <v>1431095</v>
      </c>
      <c r="C45" s="207">
        <f aca="true" t="shared" si="2" ref="C45:M45">SUM(C43:C44)</f>
        <v>1441619</v>
      </c>
      <c r="D45" s="207">
        <f t="shared" si="2"/>
        <v>1459998</v>
      </c>
      <c r="E45" s="207">
        <f t="shared" si="2"/>
        <v>1481906</v>
      </c>
      <c r="F45" s="207">
        <f t="shared" si="2"/>
        <v>1488504</v>
      </c>
      <c r="G45" s="207">
        <f t="shared" si="2"/>
        <v>1502086</v>
      </c>
      <c r="H45" s="207">
        <f t="shared" si="2"/>
        <v>1515480</v>
      </c>
      <c r="I45" s="207">
        <f t="shared" si="2"/>
        <v>1528135</v>
      </c>
      <c r="J45" s="207">
        <f t="shared" si="2"/>
        <v>1541223</v>
      </c>
      <c r="K45" s="207">
        <f t="shared" si="2"/>
        <v>1546990</v>
      </c>
      <c r="L45" s="207">
        <f t="shared" si="2"/>
        <v>1562034</v>
      </c>
      <c r="M45" s="207">
        <f t="shared" si="2"/>
        <v>1563958</v>
      </c>
    </row>
    <row r="62" spans="1:18" ht="19.5" customHeight="1">
      <c r="A62" s="26" t="s">
        <v>73</v>
      </c>
      <c r="B62" s="21"/>
      <c r="C62" s="5"/>
      <c r="D62" s="10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2.75" customHeight="1">
      <c r="A63" s="5" t="s">
        <v>303</v>
      </c>
      <c r="B63" s="21"/>
      <c r="C63" s="5"/>
      <c r="D63" s="10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2:18" ht="6.75" customHeight="1" thickBot="1">
      <c r="B64" s="21"/>
      <c r="C64" s="5"/>
      <c r="D64" s="10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2:14" ht="15" customHeight="1" thickBot="1">
      <c r="B65" s="458">
        <v>2008</v>
      </c>
      <c r="C65" s="458"/>
      <c r="D65" s="458"/>
      <c r="E65" s="458"/>
      <c r="F65" s="458"/>
      <c r="G65" s="458"/>
      <c r="H65" s="458"/>
      <c r="I65" s="458"/>
      <c r="J65" s="458"/>
      <c r="K65" s="458"/>
      <c r="L65" s="458"/>
      <c r="M65" s="458"/>
      <c r="N65" s="5"/>
    </row>
    <row r="66" spans="1:14" ht="48.75" customHeight="1" thickBot="1">
      <c r="A66" s="118" t="s">
        <v>450</v>
      </c>
      <c r="B66" s="67" t="s">
        <v>304</v>
      </c>
      <c r="C66" s="67" t="s">
        <v>305</v>
      </c>
      <c r="D66" s="67" t="s">
        <v>306</v>
      </c>
      <c r="E66" s="67" t="s">
        <v>307</v>
      </c>
      <c r="F66" s="67" t="s">
        <v>308</v>
      </c>
      <c r="G66" s="67" t="s">
        <v>309</v>
      </c>
      <c r="H66" s="67" t="s">
        <v>310</v>
      </c>
      <c r="I66" s="67" t="s">
        <v>311</v>
      </c>
      <c r="J66" s="67" t="s">
        <v>312</v>
      </c>
      <c r="K66" s="67" t="s">
        <v>313</v>
      </c>
      <c r="L66" s="67" t="s">
        <v>314</v>
      </c>
      <c r="M66" s="67" t="s">
        <v>315</v>
      </c>
      <c r="N66" s="5"/>
    </row>
    <row r="67" spans="1:14" ht="39.75" customHeight="1">
      <c r="A67" s="187" t="s">
        <v>74</v>
      </c>
      <c r="B67" s="144">
        <v>72803551.1</v>
      </c>
      <c r="C67" s="144">
        <v>62554456.2</v>
      </c>
      <c r="D67" s="144">
        <v>67791371.8</v>
      </c>
      <c r="E67" s="144">
        <v>67874519.4</v>
      </c>
      <c r="F67" s="198">
        <v>65361898</v>
      </c>
      <c r="G67" s="198">
        <v>76641490.6</v>
      </c>
      <c r="H67" s="198">
        <v>87926243.7</v>
      </c>
      <c r="I67" s="198">
        <v>86104147.4</v>
      </c>
      <c r="J67" s="198">
        <v>74407894.5</v>
      </c>
      <c r="K67" s="199">
        <v>80278989.7</v>
      </c>
      <c r="L67" s="199">
        <v>74110735.9</v>
      </c>
      <c r="M67" s="199">
        <v>110665739.4</v>
      </c>
      <c r="N67" s="5"/>
    </row>
    <row r="68" spans="1:14" ht="39.75" customHeight="1">
      <c r="A68" s="188" t="s">
        <v>75</v>
      </c>
      <c r="B68" s="200">
        <v>1310472.6</v>
      </c>
      <c r="C68" s="200">
        <v>912936.5</v>
      </c>
      <c r="D68" s="200">
        <v>1099073.2</v>
      </c>
      <c r="E68" s="200">
        <v>1227165.8</v>
      </c>
      <c r="F68" s="201">
        <v>1351217.3</v>
      </c>
      <c r="G68" s="201">
        <v>1668910.2</v>
      </c>
      <c r="H68" s="201">
        <v>2121499.4</v>
      </c>
      <c r="I68" s="201">
        <v>2298120.4</v>
      </c>
      <c r="J68" s="201">
        <v>1239572.4</v>
      </c>
      <c r="K68" s="202">
        <v>1616747</v>
      </c>
      <c r="L68" s="202">
        <v>1330698.2</v>
      </c>
      <c r="M68" s="202">
        <v>2445190.5</v>
      </c>
      <c r="N68" s="5"/>
    </row>
    <row r="69" spans="1:14" ht="39.75" customHeight="1">
      <c r="A69" s="188" t="s">
        <v>76</v>
      </c>
      <c r="B69" s="105">
        <v>41865958</v>
      </c>
      <c r="C69" s="105">
        <v>42208680</v>
      </c>
      <c r="D69" s="105">
        <v>50022661</v>
      </c>
      <c r="E69" s="105">
        <v>50924816</v>
      </c>
      <c r="F69" s="203">
        <v>47912593</v>
      </c>
      <c r="G69" s="203">
        <v>49700846</v>
      </c>
      <c r="H69" s="203">
        <v>56776911</v>
      </c>
      <c r="I69" s="203">
        <v>55431780</v>
      </c>
      <c r="J69" s="203">
        <v>55513721</v>
      </c>
      <c r="K69" s="204">
        <v>63479567</v>
      </c>
      <c r="L69" s="204">
        <v>49793556</v>
      </c>
      <c r="M69" s="204">
        <v>49529265</v>
      </c>
      <c r="N69" s="5"/>
    </row>
    <row r="70" spans="1:14" ht="39.75" customHeight="1">
      <c r="A70" s="188" t="s">
        <v>77</v>
      </c>
      <c r="B70" s="105">
        <v>229234678.7</v>
      </c>
      <c r="C70" s="105">
        <v>278173737</v>
      </c>
      <c r="D70" s="105">
        <v>327720081</v>
      </c>
      <c r="E70" s="105">
        <v>299965291.1</v>
      </c>
      <c r="F70" s="203">
        <v>297117909.9</v>
      </c>
      <c r="G70" s="203">
        <v>294680721.8</v>
      </c>
      <c r="H70" s="203">
        <v>332221085.3</v>
      </c>
      <c r="I70" s="203">
        <v>325456464.1</v>
      </c>
      <c r="J70" s="203">
        <v>386470194.9</v>
      </c>
      <c r="K70" s="204">
        <v>308778535.9</v>
      </c>
      <c r="L70" s="204">
        <v>347971878.1</v>
      </c>
      <c r="M70" s="204">
        <v>444179636</v>
      </c>
      <c r="N70" s="5"/>
    </row>
    <row r="71" spans="1:14" ht="39.75" customHeight="1" thickBot="1">
      <c r="A71" s="189" t="s">
        <v>78</v>
      </c>
      <c r="B71" s="107">
        <v>3755510.1</v>
      </c>
      <c r="C71" s="107">
        <v>3909486.7</v>
      </c>
      <c r="D71" s="107">
        <v>4330458.7</v>
      </c>
      <c r="E71" s="107">
        <v>4318989.9</v>
      </c>
      <c r="F71" s="205">
        <v>4152991.2</v>
      </c>
      <c r="G71" s="205">
        <v>4619991.1</v>
      </c>
      <c r="H71" s="205">
        <v>6828374.7</v>
      </c>
      <c r="I71" s="205">
        <v>7600640.8</v>
      </c>
      <c r="J71" s="205">
        <v>5340646.3</v>
      </c>
      <c r="K71" s="206">
        <v>5090245.5</v>
      </c>
      <c r="L71" s="206">
        <v>4726017</v>
      </c>
      <c r="M71" s="206">
        <v>6273386.8</v>
      </c>
      <c r="N71" s="5"/>
    </row>
  </sheetData>
  <sheetProtection/>
  <mergeCells count="9">
    <mergeCell ref="B65:M65"/>
    <mergeCell ref="A38:M38"/>
    <mergeCell ref="B41:M41"/>
    <mergeCell ref="A1:M1"/>
    <mergeCell ref="B4:M4"/>
    <mergeCell ref="A14:M14"/>
    <mergeCell ref="B17:M17"/>
    <mergeCell ref="A30:M30"/>
    <mergeCell ref="B33:M33"/>
  </mergeCells>
  <printOptions horizontalCentered="1"/>
  <pageMargins left="0" right="0" top="0.5" bottom="0.5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O19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6.28125" style="5" customWidth="1"/>
    <col min="2" max="2" width="11.140625" style="5" customWidth="1"/>
    <col min="3" max="15" width="6.28125" style="2" customWidth="1"/>
    <col min="16" max="16384" width="9.140625" style="5" customWidth="1"/>
  </cols>
  <sheetData>
    <row r="1" spans="1:15" ht="19.5" customHeight="1">
      <c r="A1" s="514" t="s">
        <v>79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36"/>
    </row>
    <row r="2" ht="12.75" customHeight="1">
      <c r="A2" s="5" t="s">
        <v>303</v>
      </c>
    </row>
    <row r="3" ht="6.75" customHeight="1" thickBot="1"/>
    <row r="4" spans="3:15" ht="13.5" customHeight="1" thickBot="1">
      <c r="C4" s="458">
        <v>2008</v>
      </c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</row>
    <row r="5" spans="3:15" ht="48" thickBot="1">
      <c r="C5" s="67" t="s">
        <v>304</v>
      </c>
      <c r="D5" s="67" t="s">
        <v>305</v>
      </c>
      <c r="E5" s="67" t="s">
        <v>306</v>
      </c>
      <c r="F5" s="67" t="s">
        <v>307</v>
      </c>
      <c r="G5" s="67" t="s">
        <v>308</v>
      </c>
      <c r="H5" s="67" t="s">
        <v>309</v>
      </c>
      <c r="I5" s="67" t="s">
        <v>310</v>
      </c>
      <c r="J5" s="67" t="s">
        <v>311</v>
      </c>
      <c r="K5" s="67" t="s">
        <v>312</v>
      </c>
      <c r="L5" s="67" t="s">
        <v>313</v>
      </c>
      <c r="M5" s="67" t="s">
        <v>314</v>
      </c>
      <c r="N5" s="67" t="s">
        <v>315</v>
      </c>
      <c r="O5" s="208" t="s">
        <v>389</v>
      </c>
    </row>
    <row r="6" spans="1:15" ht="39.75" customHeight="1">
      <c r="A6" s="524" t="s">
        <v>80</v>
      </c>
      <c r="B6" s="185" t="s">
        <v>403</v>
      </c>
      <c r="C6" s="144">
        <v>15285.565</v>
      </c>
      <c r="D6" s="144">
        <v>15397.285</v>
      </c>
      <c r="E6" s="144">
        <v>15787.617</v>
      </c>
      <c r="F6" s="144">
        <v>15901.63</v>
      </c>
      <c r="G6" s="144">
        <v>15709.817</v>
      </c>
      <c r="H6" s="144">
        <v>15854.101</v>
      </c>
      <c r="I6" s="144">
        <v>16179.144</v>
      </c>
      <c r="J6" s="144">
        <v>16712.31</v>
      </c>
      <c r="K6" s="144">
        <v>17099.151</v>
      </c>
      <c r="L6" s="144">
        <v>16964.886</v>
      </c>
      <c r="M6" s="144">
        <v>16995.236</v>
      </c>
      <c r="N6" s="144">
        <v>17266.414</v>
      </c>
      <c r="O6" s="198">
        <f>SUM(C6:N6)</f>
        <v>195153.156</v>
      </c>
    </row>
    <row r="7" spans="1:15" ht="39.75" customHeight="1" thickBot="1">
      <c r="A7" s="526"/>
      <c r="B7" s="186" t="s">
        <v>81</v>
      </c>
      <c r="C7" s="209">
        <v>0.4223347153957431</v>
      </c>
      <c r="D7" s="209">
        <v>0.41943831936843246</v>
      </c>
      <c r="E7" s="209">
        <v>0.4179560531898248</v>
      </c>
      <c r="F7" s="209">
        <v>0.41601801325088233</v>
      </c>
      <c r="G7" s="209">
        <v>0.4037875507840728</v>
      </c>
      <c r="H7" s="209">
        <v>0.39991422103971286</v>
      </c>
      <c r="I7" s="209">
        <v>0.3996546682406682</v>
      </c>
      <c r="J7" s="209">
        <v>0.4069799467711664</v>
      </c>
      <c r="K7" s="209">
        <v>0.41129981355647516</v>
      </c>
      <c r="L7" s="209">
        <v>0.40970390151101216</v>
      </c>
      <c r="M7" s="209">
        <v>0.4090552872363429</v>
      </c>
      <c r="N7" s="209">
        <v>0.4102024934848121</v>
      </c>
      <c r="O7" s="435"/>
    </row>
    <row r="8" spans="1:15" ht="39.75" customHeight="1">
      <c r="A8" s="524" t="s">
        <v>82</v>
      </c>
      <c r="B8" s="185" t="s">
        <v>403</v>
      </c>
      <c r="C8" s="144">
        <v>5574.993</v>
      </c>
      <c r="D8" s="144">
        <v>5662.997</v>
      </c>
      <c r="E8" s="144">
        <v>5700.071</v>
      </c>
      <c r="F8" s="144">
        <v>5781.496</v>
      </c>
      <c r="G8" s="144">
        <v>5566.743</v>
      </c>
      <c r="H8" s="144">
        <v>5615.641</v>
      </c>
      <c r="I8" s="144">
        <v>5622.429</v>
      </c>
      <c r="J8" s="144">
        <v>6311.401</v>
      </c>
      <c r="K8" s="144">
        <v>6474.755</v>
      </c>
      <c r="L8" s="144">
        <v>6288.619</v>
      </c>
      <c r="M8" s="144">
        <v>6375.466</v>
      </c>
      <c r="N8" s="144">
        <v>6501.583</v>
      </c>
      <c r="O8" s="198">
        <f>SUM(C8:N8)</f>
        <v>71476.194</v>
      </c>
    </row>
    <row r="9" spans="1:15" s="8" customFormat="1" ht="39.75" customHeight="1" thickBot="1">
      <c r="A9" s="526"/>
      <c r="B9" s="186" t="s">
        <v>81</v>
      </c>
      <c r="C9" s="209">
        <v>0.15403507047258377</v>
      </c>
      <c r="D9" s="209">
        <v>0.15426602444966597</v>
      </c>
      <c r="E9" s="209">
        <v>0.15090175914843754</v>
      </c>
      <c r="F9" s="209">
        <v>0.15125534171892588</v>
      </c>
      <c r="G9" s="209">
        <v>0.1430813307255191</v>
      </c>
      <c r="H9" s="209">
        <v>0.14165260434216193</v>
      </c>
      <c r="I9" s="209">
        <v>0.13888435610077465</v>
      </c>
      <c r="J9" s="209">
        <v>0.15369590697105823</v>
      </c>
      <c r="K9" s="209">
        <v>0.1557425584652627</v>
      </c>
      <c r="L9" s="209">
        <v>0.15187085485963653</v>
      </c>
      <c r="M9" s="209">
        <v>0.15344994773214907</v>
      </c>
      <c r="N9" s="209">
        <v>0.15445972500129238</v>
      </c>
      <c r="O9" s="436"/>
    </row>
    <row r="10" spans="1:15" s="9" customFormat="1" ht="39.75" customHeight="1">
      <c r="A10" s="524" t="s">
        <v>86</v>
      </c>
      <c r="B10" s="185" t="s">
        <v>403</v>
      </c>
      <c r="C10" s="144">
        <v>4787.536</v>
      </c>
      <c r="D10" s="144">
        <v>4768.985</v>
      </c>
      <c r="E10" s="144">
        <v>4913.291</v>
      </c>
      <c r="F10" s="144">
        <v>4957.746</v>
      </c>
      <c r="G10" s="144">
        <v>5132.798</v>
      </c>
      <c r="H10" s="144">
        <v>5177.685</v>
      </c>
      <c r="I10" s="144">
        <v>5145.563</v>
      </c>
      <c r="J10" s="144">
        <v>5219.78</v>
      </c>
      <c r="K10" s="144">
        <v>5528.09</v>
      </c>
      <c r="L10" s="144">
        <v>5478.358</v>
      </c>
      <c r="M10" s="144">
        <v>5392.189</v>
      </c>
      <c r="N10" s="144">
        <v>5403.079</v>
      </c>
      <c r="O10" s="198">
        <f>SUM(C10:N10)</f>
        <v>61905.1</v>
      </c>
    </row>
    <row r="11" spans="1:15" s="9" customFormat="1" ht="39.75" customHeight="1" thickBot="1">
      <c r="A11" s="526"/>
      <c r="B11" s="186" t="s">
        <v>81</v>
      </c>
      <c r="C11" s="209">
        <v>0.13227791409783507</v>
      </c>
      <c r="D11" s="209">
        <v>0.1299121925387017</v>
      </c>
      <c r="E11" s="209">
        <v>0.13007281051555075</v>
      </c>
      <c r="F11" s="209">
        <v>0.12970441653607265</v>
      </c>
      <c r="G11" s="209">
        <v>0.13192769419843575</v>
      </c>
      <c r="H11" s="209">
        <v>0.13060531553091567</v>
      </c>
      <c r="I11" s="209">
        <v>0.12710488723485355</v>
      </c>
      <c r="J11" s="209">
        <v>0.12711263652703897</v>
      </c>
      <c r="K11" s="209">
        <v>0.1329716537577459</v>
      </c>
      <c r="L11" s="209">
        <v>0.13230296074338876</v>
      </c>
      <c r="M11" s="176">
        <v>0.12978362996710657</v>
      </c>
      <c r="N11" s="209">
        <v>0.12836229215258158</v>
      </c>
      <c r="O11" s="437"/>
    </row>
    <row r="12" spans="1:15" ht="39.75" customHeight="1">
      <c r="A12" s="541" t="s">
        <v>87</v>
      </c>
      <c r="B12" s="185" t="s">
        <v>403</v>
      </c>
      <c r="C12" s="198">
        <v>7078.562</v>
      </c>
      <c r="D12" s="198">
        <v>7348.291</v>
      </c>
      <c r="E12" s="198">
        <v>7671.643</v>
      </c>
      <c r="F12" s="198">
        <v>7825.777</v>
      </c>
      <c r="G12" s="198">
        <v>8564.001</v>
      </c>
      <c r="H12" s="198">
        <v>8652.692</v>
      </c>
      <c r="I12" s="198">
        <v>9176.534</v>
      </c>
      <c r="J12" s="198">
        <v>8263.245</v>
      </c>
      <c r="K12" s="198">
        <v>7123.683</v>
      </c>
      <c r="L12" s="198">
        <v>7413.63</v>
      </c>
      <c r="M12" s="198">
        <v>7539.082</v>
      </c>
      <c r="N12" s="198">
        <v>7706.501</v>
      </c>
      <c r="O12" s="198">
        <f>SUM(C12:N12)</f>
        <v>94363.641</v>
      </c>
    </row>
    <row r="13" spans="1:15" ht="39.75" customHeight="1" thickBot="1">
      <c r="A13" s="542"/>
      <c r="B13" s="186" t="s">
        <v>81</v>
      </c>
      <c r="C13" s="210">
        <v>0.1955781462890722</v>
      </c>
      <c r="D13" s="210">
        <v>0.2001752144790577</v>
      </c>
      <c r="E13" s="210">
        <v>0.20309649200137977</v>
      </c>
      <c r="F13" s="210">
        <v>0.20473776585698764</v>
      </c>
      <c r="G13" s="210">
        <v>0.2201194952622523</v>
      </c>
      <c r="H13" s="210">
        <v>0.21826116668971357</v>
      </c>
      <c r="I13" s="210">
        <v>0.2266772983397151</v>
      </c>
      <c r="J13" s="210">
        <v>0.20122741920519108</v>
      </c>
      <c r="K13" s="210">
        <v>0.17135175247796988</v>
      </c>
      <c r="L13" s="210">
        <v>0.17903999681218521</v>
      </c>
      <c r="M13" s="210">
        <v>0.18145681254490037</v>
      </c>
      <c r="N13" s="210">
        <v>0.18308526172505754</v>
      </c>
      <c r="O13" s="437"/>
    </row>
    <row r="14" spans="1:15" ht="39.75" customHeight="1">
      <c r="A14" s="524" t="s">
        <v>83</v>
      </c>
      <c r="B14" s="185" t="s">
        <v>403</v>
      </c>
      <c r="C14" s="211">
        <v>1668.851</v>
      </c>
      <c r="D14" s="211">
        <v>1733.84</v>
      </c>
      <c r="E14" s="211">
        <v>1866.523</v>
      </c>
      <c r="F14" s="211">
        <v>1893.054</v>
      </c>
      <c r="G14" s="211">
        <v>2006.242</v>
      </c>
      <c r="H14" s="211">
        <v>2460.961</v>
      </c>
      <c r="I14" s="211">
        <v>2460.848</v>
      </c>
      <c r="J14" s="211">
        <v>2589.856</v>
      </c>
      <c r="K14" s="211">
        <v>3296.447</v>
      </c>
      <c r="L14" s="211">
        <v>3207.947</v>
      </c>
      <c r="M14" s="198">
        <v>3130.273</v>
      </c>
      <c r="N14" s="198">
        <v>3105.324</v>
      </c>
      <c r="O14" s="198">
        <f>SUM(C14:N14)</f>
        <v>29420.166</v>
      </c>
    </row>
    <row r="15" spans="1:15" ht="39.75" customHeight="1" thickBot="1">
      <c r="A15" s="526"/>
      <c r="B15" s="186" t="s">
        <v>81</v>
      </c>
      <c r="C15" s="212">
        <v>0.04610975859400037</v>
      </c>
      <c r="D15" s="212">
        <v>0.047231634385787036</v>
      </c>
      <c r="E15" s="212">
        <v>0.049413701020745014</v>
      </c>
      <c r="F15" s="212">
        <v>0.04952602746112417</v>
      </c>
      <c r="G15" s="212">
        <v>0.05156619860435929</v>
      </c>
      <c r="H15" s="212">
        <v>0.06207689110370324</v>
      </c>
      <c r="I15" s="212">
        <v>0.060787479920489725</v>
      </c>
      <c r="J15" s="212">
        <v>0.0630684481693426</v>
      </c>
      <c r="K15" s="212">
        <v>0.07929212605343984</v>
      </c>
      <c r="L15" s="212">
        <v>0.07747228019926258</v>
      </c>
      <c r="M15" s="212">
        <v>0.07534197943136352</v>
      </c>
      <c r="N15" s="212">
        <v>0.07377395490912186</v>
      </c>
      <c r="O15" s="437"/>
    </row>
    <row r="16" spans="1:15" ht="39.75" customHeight="1">
      <c r="A16" s="525" t="s">
        <v>84</v>
      </c>
      <c r="B16" s="185" t="s">
        <v>403</v>
      </c>
      <c r="C16" s="198">
        <v>369.157</v>
      </c>
      <c r="D16" s="198">
        <v>383.743</v>
      </c>
      <c r="E16" s="198">
        <v>380.818</v>
      </c>
      <c r="F16" s="198">
        <v>378.808</v>
      </c>
      <c r="G16" s="198">
        <v>390.92</v>
      </c>
      <c r="H16" s="198">
        <v>392.51</v>
      </c>
      <c r="I16" s="198">
        <v>404.787</v>
      </c>
      <c r="J16" s="198">
        <v>403.277</v>
      </c>
      <c r="K16" s="198">
        <v>429.511</v>
      </c>
      <c r="L16" s="198">
        <v>404.089</v>
      </c>
      <c r="M16" s="198">
        <v>416.233</v>
      </c>
      <c r="N16" s="198">
        <v>426.038</v>
      </c>
      <c r="O16" s="198">
        <f>SUM(C16:N16)</f>
        <v>4779.891</v>
      </c>
    </row>
    <row r="17" spans="1:15" ht="39.75" customHeight="1" thickBot="1">
      <c r="A17" s="525"/>
      <c r="B17" s="186" t="s">
        <v>81</v>
      </c>
      <c r="C17" s="212">
        <v>0.010199676396086524</v>
      </c>
      <c r="D17" s="212">
        <v>0.010453564962225508</v>
      </c>
      <c r="E17" s="212">
        <v>0.01008164742428466</v>
      </c>
      <c r="F17" s="212">
        <v>0.009910364633282263</v>
      </c>
      <c r="G17" s="212">
        <v>0.010047770088761045</v>
      </c>
      <c r="H17" s="212">
        <v>0.009900929160240475</v>
      </c>
      <c r="I17" s="212">
        <v>0.009998984754269778</v>
      </c>
      <c r="J17" s="212">
        <v>0.009820644303153523</v>
      </c>
      <c r="K17" s="212">
        <v>0.010331378102951146</v>
      </c>
      <c r="L17" s="212">
        <v>0.009758794716196938</v>
      </c>
      <c r="M17" s="212">
        <v>0.010018237426785053</v>
      </c>
      <c r="N17" s="212">
        <v>0.010121490769263516</v>
      </c>
      <c r="O17" s="437"/>
    </row>
    <row r="18" spans="1:15" ht="39.75" customHeight="1">
      <c r="A18" s="524" t="s">
        <v>85</v>
      </c>
      <c r="B18" s="185" t="s">
        <v>403</v>
      </c>
      <c r="C18" s="198">
        <v>1428.347</v>
      </c>
      <c r="D18" s="198">
        <v>1414.154</v>
      </c>
      <c r="E18" s="198">
        <v>1453.427</v>
      </c>
      <c r="F18" s="198">
        <v>1484.906</v>
      </c>
      <c r="G18" s="198">
        <v>1535.624</v>
      </c>
      <c r="H18" s="198">
        <v>1490.164</v>
      </c>
      <c r="I18" s="198">
        <v>1493.505</v>
      </c>
      <c r="J18" s="198">
        <v>1564.341</v>
      </c>
      <c r="K18" s="198">
        <v>1621.81</v>
      </c>
      <c r="L18" s="198">
        <v>1650.146</v>
      </c>
      <c r="M18" s="198">
        <v>1699.049</v>
      </c>
      <c r="N18" s="198">
        <v>1683.477</v>
      </c>
      <c r="O18" s="198">
        <f>SUM(C18:N18)</f>
        <v>18518.95</v>
      </c>
    </row>
    <row r="19" spans="1:15" ht="39.75" customHeight="1" thickBot="1">
      <c r="A19" s="526"/>
      <c r="B19" s="186" t="s">
        <v>81</v>
      </c>
      <c r="C19" s="212">
        <v>0.0394647187546789</v>
      </c>
      <c r="D19" s="212">
        <v>0.038523049816129674</v>
      </c>
      <c r="E19" s="212">
        <v>0.03847753669977727</v>
      </c>
      <c r="F19" s="212">
        <v>0.03884807054272516</v>
      </c>
      <c r="G19" s="212">
        <v>0.03946996033659979</v>
      </c>
      <c r="H19" s="212">
        <v>0.037588872133552234</v>
      </c>
      <c r="I19" s="212">
        <v>0.036892325409229265</v>
      </c>
      <c r="J19" s="212">
        <v>0.038094998053049105</v>
      </c>
      <c r="K19" s="212">
        <v>0.03901071758615541</v>
      </c>
      <c r="L19" s="212">
        <v>0.03985121115831788</v>
      </c>
      <c r="M19" s="212">
        <v>0.04089410566135246</v>
      </c>
      <c r="N19" s="212">
        <v>0.039994781957870984</v>
      </c>
      <c r="O19" s="437"/>
    </row>
  </sheetData>
  <sheetProtection/>
  <mergeCells count="9">
    <mergeCell ref="A18:A19"/>
    <mergeCell ref="A14:A15"/>
    <mergeCell ref="A1:N1"/>
    <mergeCell ref="A6:A7"/>
    <mergeCell ref="A16:A17"/>
    <mergeCell ref="C4:O4"/>
    <mergeCell ref="A8:A9"/>
    <mergeCell ref="A10:A11"/>
    <mergeCell ref="A12:A13"/>
  </mergeCells>
  <printOptions horizontalCentered="1"/>
  <pageMargins left="0" right="0" top="0.5" bottom="0.5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O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3.00390625" style="0" customWidth="1"/>
    <col min="3" max="7" width="13.28125" style="0" customWidth="1"/>
  </cols>
  <sheetData>
    <row r="1" spans="1:15" s="5" customFormat="1" ht="19.5" customHeight="1">
      <c r="A1" s="164" t="s">
        <v>88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36"/>
    </row>
    <row r="2" spans="1:15" s="5" customFormat="1" ht="12.75" customHeight="1">
      <c r="A2" s="5" t="s">
        <v>89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3:15" s="5" customFormat="1" ht="6.75" customHeight="1" thickBo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3:15" s="5" customFormat="1" ht="13.5" customHeight="1" thickBot="1">
      <c r="C4" s="458" t="s">
        <v>315</v>
      </c>
      <c r="D4" s="458"/>
      <c r="E4" s="458"/>
      <c r="F4" s="458"/>
      <c r="G4" s="458"/>
      <c r="H4" s="49"/>
      <c r="I4" s="49"/>
      <c r="J4" s="49"/>
      <c r="K4" s="49"/>
      <c r="L4" s="49"/>
      <c r="M4" s="49"/>
      <c r="N4" s="49"/>
      <c r="O4" s="49"/>
    </row>
    <row r="5" spans="3:7" s="5" customFormat="1" ht="13.5" customHeight="1" thickBot="1">
      <c r="C5" s="148">
        <v>2004</v>
      </c>
      <c r="D5" s="148">
        <v>2005</v>
      </c>
      <c r="E5" s="148">
        <v>2006</v>
      </c>
      <c r="F5" s="148">
        <v>2007</v>
      </c>
      <c r="G5" s="148">
        <v>2008</v>
      </c>
    </row>
    <row r="6" spans="1:7" s="5" customFormat="1" ht="39.75" customHeight="1">
      <c r="A6" s="524" t="s">
        <v>80</v>
      </c>
      <c r="B6" s="185" t="s">
        <v>403</v>
      </c>
      <c r="C6" s="144">
        <v>11867</v>
      </c>
      <c r="D6" s="144">
        <v>11537</v>
      </c>
      <c r="E6" s="144">
        <v>12387</v>
      </c>
      <c r="F6" s="144">
        <v>14952</v>
      </c>
      <c r="G6" s="144">
        <v>17266</v>
      </c>
    </row>
    <row r="7" spans="1:7" s="5" customFormat="1" ht="39.75" customHeight="1" thickBot="1">
      <c r="A7" s="526"/>
      <c r="B7" s="186" t="s">
        <v>81</v>
      </c>
      <c r="C7" s="209">
        <v>44.18</v>
      </c>
      <c r="D7" s="209">
        <v>42.5</v>
      </c>
      <c r="E7" s="209">
        <v>42.31</v>
      </c>
      <c r="F7" s="209">
        <v>43.04</v>
      </c>
      <c r="G7" s="209">
        <v>41.02</v>
      </c>
    </row>
    <row r="8" spans="1:7" s="5" customFormat="1" ht="39.75" customHeight="1">
      <c r="A8" s="524" t="s">
        <v>82</v>
      </c>
      <c r="B8" s="185" t="s">
        <v>403</v>
      </c>
      <c r="C8" s="144">
        <v>4620</v>
      </c>
      <c r="D8" s="144">
        <v>4206</v>
      </c>
      <c r="E8" s="144">
        <v>4317</v>
      </c>
      <c r="F8" s="144">
        <v>4757</v>
      </c>
      <c r="G8" s="144">
        <v>6502</v>
      </c>
    </row>
    <row r="9" spans="1:7" s="8" customFormat="1" ht="39.75" customHeight="1" thickBot="1">
      <c r="A9" s="526"/>
      <c r="B9" s="186" t="s">
        <v>81</v>
      </c>
      <c r="C9" s="209">
        <v>17.2</v>
      </c>
      <c r="D9" s="209">
        <v>15.49</v>
      </c>
      <c r="E9" s="209">
        <v>14.75</v>
      </c>
      <c r="F9" s="209">
        <v>13.69</v>
      </c>
      <c r="G9" s="209">
        <v>15.45</v>
      </c>
    </row>
    <row r="10" spans="1:7" s="9" customFormat="1" ht="39.75" customHeight="1">
      <c r="A10" s="524" t="s">
        <v>86</v>
      </c>
      <c r="B10" s="185" t="s">
        <v>403</v>
      </c>
      <c r="C10" s="144">
        <v>3837</v>
      </c>
      <c r="D10" s="144">
        <v>4027</v>
      </c>
      <c r="E10" s="144">
        <v>4058</v>
      </c>
      <c r="F10" s="144">
        <v>4650</v>
      </c>
      <c r="G10" s="144">
        <v>5403</v>
      </c>
    </row>
    <row r="11" spans="1:7" s="9" customFormat="1" ht="39.75" customHeight="1" thickBot="1">
      <c r="A11" s="526"/>
      <c r="B11" s="186" t="s">
        <v>81</v>
      </c>
      <c r="C11" s="209">
        <v>14.28</v>
      </c>
      <c r="D11" s="209">
        <v>14.84</v>
      </c>
      <c r="E11" s="209">
        <v>13.86</v>
      </c>
      <c r="F11" s="209">
        <v>13.39</v>
      </c>
      <c r="G11" s="209">
        <v>12.84</v>
      </c>
    </row>
    <row r="12" spans="1:7" s="5" customFormat="1" ht="39.75" customHeight="1">
      <c r="A12" s="541" t="s">
        <v>87</v>
      </c>
      <c r="B12" s="185" t="s">
        <v>403</v>
      </c>
      <c r="C12" s="198">
        <v>4330</v>
      </c>
      <c r="D12" s="198">
        <v>4728</v>
      </c>
      <c r="E12" s="198">
        <v>5613</v>
      </c>
      <c r="F12" s="198">
        <v>6770</v>
      </c>
      <c r="G12" s="198">
        <v>7707</v>
      </c>
    </row>
    <row r="13" spans="1:7" s="5" customFormat="1" ht="39.75" customHeight="1" thickBot="1">
      <c r="A13" s="542"/>
      <c r="B13" s="186" t="s">
        <v>81</v>
      </c>
      <c r="C13" s="210">
        <v>16.12</v>
      </c>
      <c r="D13" s="210">
        <v>17.42</v>
      </c>
      <c r="E13" s="210">
        <v>19.17</v>
      </c>
      <c r="F13" s="210">
        <v>19.49</v>
      </c>
      <c r="G13" s="210">
        <v>18.31</v>
      </c>
    </row>
    <row r="14" spans="1:7" s="5" customFormat="1" ht="39.75" customHeight="1">
      <c r="A14" s="524" t="s">
        <v>83</v>
      </c>
      <c r="B14" s="185" t="s">
        <v>403</v>
      </c>
      <c r="C14" s="211">
        <v>933</v>
      </c>
      <c r="D14" s="211">
        <v>1131</v>
      </c>
      <c r="E14" s="211">
        <v>1385</v>
      </c>
      <c r="F14" s="211">
        <v>1870</v>
      </c>
      <c r="G14" s="211">
        <v>3105</v>
      </c>
    </row>
    <row r="15" spans="1:7" s="5" customFormat="1" ht="39.75" customHeight="1" thickBot="1">
      <c r="A15" s="526"/>
      <c r="B15" s="186" t="s">
        <v>81</v>
      </c>
      <c r="C15" s="212">
        <v>3.47</v>
      </c>
      <c r="D15" s="212">
        <v>4.17</v>
      </c>
      <c r="E15" s="212">
        <v>4.73</v>
      </c>
      <c r="F15" s="212">
        <v>5.38</v>
      </c>
      <c r="G15" s="212">
        <v>7.38</v>
      </c>
    </row>
    <row r="16" spans="1:7" s="5" customFormat="1" ht="39.75" customHeight="1">
      <c r="A16" s="525" t="s">
        <v>84</v>
      </c>
      <c r="B16" s="185" t="s">
        <v>403</v>
      </c>
      <c r="C16" s="198">
        <v>292</v>
      </c>
      <c r="D16" s="198">
        <v>344</v>
      </c>
      <c r="E16" s="198">
        <v>328</v>
      </c>
      <c r="F16" s="198">
        <v>362</v>
      </c>
      <c r="G16" s="198">
        <v>426</v>
      </c>
    </row>
    <row r="17" spans="1:7" s="5" customFormat="1" ht="39.75" customHeight="1" thickBot="1">
      <c r="A17" s="525"/>
      <c r="B17" s="186" t="s">
        <v>81</v>
      </c>
      <c r="C17" s="212">
        <v>1.09</v>
      </c>
      <c r="D17" s="212">
        <v>1.27</v>
      </c>
      <c r="E17" s="212">
        <v>1.12</v>
      </c>
      <c r="F17" s="212">
        <v>1.04</v>
      </c>
      <c r="G17" s="212">
        <v>1.01</v>
      </c>
    </row>
    <row r="18" spans="1:7" s="5" customFormat="1" ht="39.75" customHeight="1">
      <c r="A18" s="524" t="s">
        <v>85</v>
      </c>
      <c r="B18" s="185" t="s">
        <v>403</v>
      </c>
      <c r="C18" s="198">
        <v>983</v>
      </c>
      <c r="D18" s="198">
        <v>1172</v>
      </c>
      <c r="E18" s="198">
        <v>1187</v>
      </c>
      <c r="F18" s="198">
        <v>1376</v>
      </c>
      <c r="G18" s="198">
        <v>1683</v>
      </c>
    </row>
    <row r="19" spans="1:7" s="5" customFormat="1" ht="39.75" customHeight="1" thickBot="1">
      <c r="A19" s="526"/>
      <c r="B19" s="186" t="s">
        <v>81</v>
      </c>
      <c r="C19" s="212">
        <v>3.66</v>
      </c>
      <c r="D19" s="212">
        <v>4.32</v>
      </c>
      <c r="E19" s="212">
        <v>4.05</v>
      </c>
      <c r="F19" s="212">
        <v>3.96</v>
      </c>
      <c r="G19" s="212">
        <v>4</v>
      </c>
    </row>
    <row r="20" spans="1:7" s="5" customFormat="1" ht="39.75" customHeight="1">
      <c r="A20" s="533" t="s">
        <v>389</v>
      </c>
      <c r="B20" s="185" t="s">
        <v>403</v>
      </c>
      <c r="C20" s="198">
        <f>C6+C8+C10+C12+C14+C16+C18</f>
        <v>26862</v>
      </c>
      <c r="D20" s="198">
        <f>D6+D8+D10+D12+D14+D16+D18</f>
        <v>27145</v>
      </c>
      <c r="E20" s="198">
        <f>E6+E8+E10+E12+E14+E16+E18</f>
        <v>29275</v>
      </c>
      <c r="F20" s="198">
        <f>F6+F8+F10+F12+F14+F16+F18</f>
        <v>34737</v>
      </c>
      <c r="G20" s="198">
        <f>G6+G8+G10+G12+G14+G16+G18</f>
        <v>42092</v>
      </c>
    </row>
    <row r="21" spans="1:15" s="5" customFormat="1" ht="39.75" customHeight="1" thickBot="1">
      <c r="A21" s="535"/>
      <c r="B21" s="186" t="s">
        <v>81</v>
      </c>
      <c r="C21" s="213">
        <f>SUM(C7+C9+C11+C13+C15+C17+C19)</f>
        <v>100</v>
      </c>
      <c r="D21" s="213">
        <f>D7+D9+D11+D13+D15+D17+D19</f>
        <v>100.00999999999999</v>
      </c>
      <c r="E21" s="213">
        <f>E7+E9+E11+E13+E15+E17+E19</f>
        <v>99.99000000000001</v>
      </c>
      <c r="F21" s="213">
        <f>F7+F9+F11+F13+F15+F17+F19</f>
        <v>99.99</v>
      </c>
      <c r="G21" s="213">
        <f>G7+G9+G11+G13+G15+G17+G19</f>
        <v>100.01</v>
      </c>
      <c r="H21" s="2"/>
      <c r="I21" s="2"/>
      <c r="J21" s="2"/>
      <c r="K21" s="2"/>
      <c r="L21" s="2"/>
      <c r="M21" s="2"/>
      <c r="N21" s="2"/>
      <c r="O21" s="2"/>
    </row>
    <row r="22" spans="3:15" s="5" customFormat="1" ht="12.7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3:15" s="5" customFormat="1" ht="12.7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3:15" s="5" customFormat="1" ht="12.7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3:15" s="5" customFormat="1" ht="12.7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3:15" s="5" customFormat="1" ht="12.7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3:15" s="5" customFormat="1" ht="12.7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3:15" s="5" customFormat="1" ht="12.7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3:15" s="5" customFormat="1" ht="12.7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3:15" s="5" customFormat="1" ht="12.7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3:15" s="5" customFormat="1" ht="12.7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</sheetData>
  <sheetProtection/>
  <mergeCells count="9">
    <mergeCell ref="A6:A7"/>
    <mergeCell ref="C4:G4"/>
    <mergeCell ref="A20:A21"/>
    <mergeCell ref="A8:A9"/>
    <mergeCell ref="A10:A11"/>
    <mergeCell ref="A12:A13"/>
    <mergeCell ref="A14:A15"/>
    <mergeCell ref="A16:A17"/>
    <mergeCell ref="A18:A19"/>
  </mergeCells>
  <printOptions horizontalCentered="1"/>
  <pageMargins left="0" right="0" top="0.5" bottom="0.5" header="0" footer="0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N157"/>
  <sheetViews>
    <sheetView zoomScale="106" zoomScaleNormal="106" zoomScalePageLayoutView="0" workbookViewId="0" topLeftCell="A1">
      <selection activeCell="A1" sqref="A1:I1"/>
    </sheetView>
  </sheetViews>
  <sheetFormatPr defaultColWidth="9.140625" defaultRowHeight="12.75"/>
  <cols>
    <col min="1" max="1" width="36.57421875" style="1" customWidth="1"/>
    <col min="2" max="9" width="13.7109375" style="1" customWidth="1"/>
    <col min="10" max="16384" width="9.140625" style="1" customWidth="1"/>
  </cols>
  <sheetData>
    <row r="1" spans="1:14" ht="19.5" customHeight="1">
      <c r="A1" s="514" t="s">
        <v>90</v>
      </c>
      <c r="B1" s="514"/>
      <c r="C1" s="514"/>
      <c r="D1" s="514"/>
      <c r="E1" s="514"/>
      <c r="F1" s="514"/>
      <c r="G1" s="514"/>
      <c r="H1" s="514"/>
      <c r="I1" s="514"/>
      <c r="J1" s="36"/>
      <c r="K1" s="36"/>
      <c r="L1" s="36"/>
      <c r="M1" s="36"/>
      <c r="N1" s="36"/>
    </row>
    <row r="2" spans="1:14" ht="12.75">
      <c r="A2" s="5" t="s">
        <v>91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6.75" customHeight="1" thickBot="1"/>
    <row r="4" spans="1:2" ht="13.5" customHeight="1" thickBot="1">
      <c r="A4" s="458" t="s">
        <v>93</v>
      </c>
      <c r="B4" s="458"/>
    </row>
    <row r="5" spans="1:2" ht="19.5" customHeight="1" thickBot="1">
      <c r="A5" s="237" t="s">
        <v>92</v>
      </c>
      <c r="B5" s="214" t="s">
        <v>94</v>
      </c>
    </row>
    <row r="6" spans="1:2" ht="19.5" customHeight="1">
      <c r="A6" s="238" t="s">
        <v>95</v>
      </c>
      <c r="B6" s="215">
        <v>52</v>
      </c>
    </row>
    <row r="7" spans="1:2" ht="19.5" customHeight="1" thickBot="1">
      <c r="A7" s="239" t="s">
        <v>96</v>
      </c>
      <c r="B7" s="216">
        <v>12</v>
      </c>
    </row>
    <row r="8" spans="1:2" ht="19.5" customHeight="1" thickBot="1">
      <c r="A8" s="245" t="s">
        <v>389</v>
      </c>
      <c r="B8" s="217">
        <f>SUM(B6:B7)</f>
        <v>64</v>
      </c>
    </row>
    <row r="10" spans="1:9" ht="19.5" customHeight="1">
      <c r="A10" s="514" t="s">
        <v>97</v>
      </c>
      <c r="B10" s="514"/>
      <c r="C10" s="514"/>
      <c r="D10" s="514"/>
      <c r="E10" s="514"/>
      <c r="F10" s="514"/>
      <c r="G10" s="514"/>
      <c r="H10" s="514"/>
      <c r="I10" s="514"/>
    </row>
    <row r="11" spans="1:6" ht="12.75">
      <c r="A11" s="5" t="s">
        <v>91</v>
      </c>
      <c r="B11" s="5"/>
      <c r="C11" s="2"/>
      <c r="D11" s="2"/>
      <c r="E11" s="2"/>
      <c r="F11" s="2"/>
    </row>
    <row r="12" ht="6.75" customHeight="1" thickBot="1"/>
    <row r="13" spans="2:9" ht="13.5" thickBot="1">
      <c r="B13" s="458" t="s">
        <v>98</v>
      </c>
      <c r="C13" s="458"/>
      <c r="D13" s="458"/>
      <c r="E13" s="458"/>
      <c r="F13" s="458" t="s">
        <v>110</v>
      </c>
      <c r="G13" s="458"/>
      <c r="H13" s="458"/>
      <c r="I13" s="458"/>
    </row>
    <row r="14" spans="1:9" ht="13.5" thickBot="1">
      <c r="A14" s="48"/>
      <c r="B14" s="66">
        <v>2004</v>
      </c>
      <c r="C14" s="66">
        <v>2005</v>
      </c>
      <c r="D14" s="66">
        <v>2006</v>
      </c>
      <c r="E14" s="66">
        <v>2007</v>
      </c>
      <c r="F14" s="66">
        <v>2004</v>
      </c>
      <c r="G14" s="66">
        <v>2005</v>
      </c>
      <c r="H14" s="66">
        <v>2006</v>
      </c>
      <c r="I14" s="66">
        <v>2007</v>
      </c>
    </row>
    <row r="15" spans="1:9" ht="19.5" customHeight="1" thickBot="1">
      <c r="A15" s="246" t="s">
        <v>99</v>
      </c>
      <c r="B15" s="218">
        <f aca="true" t="shared" si="0" ref="B15:I15">SUM(B16:B20)</f>
        <v>5928</v>
      </c>
      <c r="C15" s="218">
        <f t="shared" si="0"/>
        <v>6468</v>
      </c>
      <c r="D15" s="218">
        <f t="shared" si="0"/>
        <v>7459</v>
      </c>
      <c r="E15" s="218">
        <f t="shared" si="0"/>
        <v>8103</v>
      </c>
      <c r="F15" s="219">
        <f t="shared" si="0"/>
        <v>100</v>
      </c>
      <c r="G15" s="219">
        <f t="shared" si="0"/>
        <v>99.99999999999999</v>
      </c>
      <c r="H15" s="219">
        <f t="shared" si="0"/>
        <v>100.00000000000001</v>
      </c>
      <c r="I15" s="219">
        <f t="shared" si="0"/>
        <v>99.99999999999999</v>
      </c>
    </row>
    <row r="16" spans="1:9" ht="19.5" customHeight="1">
      <c r="A16" s="238" t="s">
        <v>100</v>
      </c>
      <c r="B16" s="220">
        <v>4202</v>
      </c>
      <c r="C16" s="220">
        <v>4587</v>
      </c>
      <c r="D16" s="220">
        <v>5357</v>
      </c>
      <c r="E16" s="220">
        <v>5965</v>
      </c>
      <c r="F16" s="221">
        <f>B16*100/B15</f>
        <v>70.88394062078272</v>
      </c>
      <c r="G16" s="221">
        <f>C16*100/C15</f>
        <v>70.91836734693878</v>
      </c>
      <c r="H16" s="221">
        <f>D16*100/D15</f>
        <v>71.81927872368951</v>
      </c>
      <c r="I16" s="221">
        <f>E16*100/E15</f>
        <v>73.61471060101196</v>
      </c>
    </row>
    <row r="17" spans="1:9" ht="19.5" customHeight="1">
      <c r="A17" s="240" t="s">
        <v>101</v>
      </c>
      <c r="B17" s="222">
        <v>155</v>
      </c>
      <c r="C17" s="222">
        <v>210</v>
      </c>
      <c r="D17" s="222">
        <v>165</v>
      </c>
      <c r="E17" s="222">
        <v>71</v>
      </c>
      <c r="F17" s="223">
        <f>B17*100/B15</f>
        <v>2.614709851551957</v>
      </c>
      <c r="G17" s="223">
        <f>C17*100/C15</f>
        <v>3.2467532467532467</v>
      </c>
      <c r="H17" s="223">
        <f>D17*100/D15</f>
        <v>2.212092773830272</v>
      </c>
      <c r="I17" s="223">
        <f>E17*100/E15</f>
        <v>0.8762186844378625</v>
      </c>
    </row>
    <row r="18" spans="1:9" ht="19.5" customHeight="1">
      <c r="A18" s="240" t="s">
        <v>102</v>
      </c>
      <c r="B18" s="222">
        <v>722</v>
      </c>
      <c r="C18" s="222">
        <v>749</v>
      </c>
      <c r="D18" s="222">
        <v>850</v>
      </c>
      <c r="E18" s="222">
        <v>933</v>
      </c>
      <c r="F18" s="223">
        <f>B18*100/B15</f>
        <v>12.179487179487179</v>
      </c>
      <c r="G18" s="223">
        <f>C18*100/C15</f>
        <v>11.58008658008658</v>
      </c>
      <c r="H18" s="223">
        <f>D18*100/D15</f>
        <v>11.395629440943827</v>
      </c>
      <c r="I18" s="223">
        <f>E18*100/E15</f>
        <v>11.514253980007405</v>
      </c>
    </row>
    <row r="19" spans="1:9" ht="19.5" customHeight="1">
      <c r="A19" s="240" t="s">
        <v>103</v>
      </c>
      <c r="B19" s="222">
        <v>728</v>
      </c>
      <c r="C19" s="222">
        <v>774</v>
      </c>
      <c r="D19" s="222">
        <v>876</v>
      </c>
      <c r="E19" s="222">
        <v>903</v>
      </c>
      <c r="F19" s="223">
        <f>B19*100/B15</f>
        <v>12.280701754385966</v>
      </c>
      <c r="G19" s="223">
        <f>C19*100/C15</f>
        <v>11.96660482374768</v>
      </c>
      <c r="H19" s="223">
        <f>D19*100/D15</f>
        <v>11.74420163560799</v>
      </c>
      <c r="I19" s="223">
        <f>E19*100/E15</f>
        <v>11.14402073306183</v>
      </c>
    </row>
    <row r="20" spans="1:9" ht="19.5" customHeight="1" thickBot="1">
      <c r="A20" s="239" t="s">
        <v>104</v>
      </c>
      <c r="B20" s="224">
        <v>121</v>
      </c>
      <c r="C20" s="224">
        <v>148</v>
      </c>
      <c r="D20" s="224">
        <v>211</v>
      </c>
      <c r="E20" s="224">
        <v>231</v>
      </c>
      <c r="F20" s="225">
        <f>B20*100/B15</f>
        <v>2.041160593792173</v>
      </c>
      <c r="G20" s="225">
        <f>C20*100/C15</f>
        <v>2.2881880024737167</v>
      </c>
      <c r="H20" s="225">
        <f>D20*100/D15</f>
        <v>2.8287974259284088</v>
      </c>
      <c r="I20" s="225">
        <f>E20*100/E15</f>
        <v>2.850796001480933</v>
      </c>
    </row>
    <row r="21" spans="1:9" ht="19.5" customHeight="1" thickBot="1">
      <c r="A21" s="245" t="s">
        <v>105</v>
      </c>
      <c r="B21" s="218">
        <f aca="true" t="shared" si="1" ref="B21:I21">SUM(B22:B24)</f>
        <v>6624</v>
      </c>
      <c r="C21" s="218">
        <f t="shared" si="1"/>
        <v>7250</v>
      </c>
      <c r="D21" s="218">
        <f t="shared" si="1"/>
        <v>8466</v>
      </c>
      <c r="E21" s="218">
        <f t="shared" si="1"/>
        <v>9384</v>
      </c>
      <c r="F21" s="219">
        <f t="shared" si="1"/>
        <v>100</v>
      </c>
      <c r="G21" s="219">
        <f t="shared" si="1"/>
        <v>100</v>
      </c>
      <c r="H21" s="219">
        <f t="shared" si="1"/>
        <v>100</v>
      </c>
      <c r="I21" s="219">
        <f t="shared" si="1"/>
        <v>100</v>
      </c>
    </row>
    <row r="22" spans="1:9" ht="19.5" customHeight="1">
      <c r="A22" s="238" t="s">
        <v>106</v>
      </c>
      <c r="B22" s="220">
        <v>5889</v>
      </c>
      <c r="C22" s="220">
        <v>6413</v>
      </c>
      <c r="D22" s="220">
        <v>7692</v>
      </c>
      <c r="E22" s="220">
        <v>8378</v>
      </c>
      <c r="F22" s="221">
        <f>B22*100/B21</f>
        <v>88.90398550724638</v>
      </c>
      <c r="G22" s="221">
        <f>C22*100/C21</f>
        <v>88.45517241379311</v>
      </c>
      <c r="H22" s="221">
        <f>D22*100/D21</f>
        <v>90.85754783841247</v>
      </c>
      <c r="I22" s="221">
        <f>E22*100/E21</f>
        <v>89.27962489343564</v>
      </c>
    </row>
    <row r="23" spans="1:9" ht="19.5" customHeight="1">
      <c r="A23" s="240" t="s">
        <v>107</v>
      </c>
      <c r="B23" s="222">
        <v>758</v>
      </c>
      <c r="C23" s="222">
        <v>857</v>
      </c>
      <c r="D23" s="222">
        <v>779</v>
      </c>
      <c r="E23" s="222">
        <v>982</v>
      </c>
      <c r="F23" s="223">
        <f>B23*100/B21</f>
        <v>11.443236714975846</v>
      </c>
      <c r="G23" s="223">
        <f>C23*100/C21</f>
        <v>11.820689655172414</v>
      </c>
      <c r="H23" s="223">
        <f>D23*100/D21</f>
        <v>9.201511930073234</v>
      </c>
      <c r="I23" s="223">
        <f>E23*100/E21</f>
        <v>10.46462063086104</v>
      </c>
    </row>
    <row r="24" spans="1:9" ht="19.5" customHeight="1" thickBot="1">
      <c r="A24" s="239" t="s">
        <v>108</v>
      </c>
      <c r="B24" s="224">
        <v>-23</v>
      </c>
      <c r="C24" s="224">
        <v>-20</v>
      </c>
      <c r="D24" s="224">
        <v>-5</v>
      </c>
      <c r="E24" s="224">
        <v>24</v>
      </c>
      <c r="F24" s="225">
        <f>B24*100/B21</f>
        <v>-0.3472222222222222</v>
      </c>
      <c r="G24" s="225">
        <f>C24*100/C21</f>
        <v>-0.27586206896551724</v>
      </c>
      <c r="H24" s="225">
        <f>D24*100/D21</f>
        <v>-0.059059768485707535</v>
      </c>
      <c r="I24" s="225">
        <f>E24*100/E21</f>
        <v>0.2557544757033248</v>
      </c>
    </row>
    <row r="25" spans="1:9" ht="19.5" customHeight="1" thickBot="1">
      <c r="A25" s="245" t="s">
        <v>109</v>
      </c>
      <c r="B25" s="226">
        <f>B21-B15</f>
        <v>696</v>
      </c>
      <c r="C25" s="226">
        <f>C21-C15</f>
        <v>782</v>
      </c>
      <c r="D25" s="226">
        <f>D21-D15</f>
        <v>1007</v>
      </c>
      <c r="E25" s="226">
        <f>E21-E15</f>
        <v>1281</v>
      </c>
      <c r="F25" s="547"/>
      <c r="G25" s="547"/>
      <c r="H25" s="547"/>
      <c r="I25" s="547"/>
    </row>
    <row r="33" spans="1:9" ht="19.5" customHeight="1">
      <c r="A33" s="514" t="s">
        <v>111</v>
      </c>
      <c r="B33" s="514"/>
      <c r="C33" s="514"/>
      <c r="D33" s="514"/>
      <c r="E33" s="514"/>
      <c r="F33" s="514"/>
      <c r="G33" s="514"/>
      <c r="H33" s="514"/>
      <c r="I33" s="514"/>
    </row>
    <row r="34" spans="1:6" ht="12.75">
      <c r="A34" s="5" t="s">
        <v>91</v>
      </c>
      <c r="B34" s="5"/>
      <c r="C34" s="2"/>
      <c r="D34" s="2"/>
      <c r="E34" s="2"/>
      <c r="F34" s="2"/>
    </row>
    <row r="35" ht="6.75" customHeight="1" thickBot="1"/>
    <row r="36" spans="2:8" ht="13.5" customHeight="1" thickBot="1">
      <c r="B36" s="458" t="s">
        <v>98</v>
      </c>
      <c r="C36" s="458"/>
      <c r="D36" s="458"/>
      <c r="E36" s="458"/>
      <c r="F36" s="548" t="s">
        <v>114</v>
      </c>
      <c r="G36" s="548"/>
      <c r="H36" s="548"/>
    </row>
    <row r="37" spans="1:8" ht="13.5" thickBot="1">
      <c r="A37" s="48"/>
      <c r="B37" s="66">
        <v>2004</v>
      </c>
      <c r="C37" s="66">
        <v>2005</v>
      </c>
      <c r="D37" s="66">
        <v>2006</v>
      </c>
      <c r="E37" s="66">
        <v>2007</v>
      </c>
      <c r="F37" s="66" t="s">
        <v>453</v>
      </c>
      <c r="G37" s="66" t="s">
        <v>454</v>
      </c>
      <c r="H37" s="66" t="s">
        <v>455</v>
      </c>
    </row>
    <row r="38" spans="1:8" ht="19.5" customHeight="1">
      <c r="A38" s="238" t="s">
        <v>106</v>
      </c>
      <c r="B38" s="220">
        <v>5889</v>
      </c>
      <c r="C38" s="220">
        <v>6413</v>
      </c>
      <c r="D38" s="220">
        <v>7692</v>
      </c>
      <c r="E38" s="220">
        <v>8378</v>
      </c>
      <c r="F38" s="221">
        <f aca="true" t="shared" si="2" ref="F38:H39">(C38-B38)*100/B38</f>
        <v>8.89794532178638</v>
      </c>
      <c r="G38" s="221">
        <f t="shared" si="2"/>
        <v>19.94386402619679</v>
      </c>
      <c r="H38" s="221">
        <f t="shared" si="2"/>
        <v>8.91835673426937</v>
      </c>
    </row>
    <row r="39" spans="1:9" ht="19.5" customHeight="1" thickBot="1">
      <c r="A39" s="239" t="s">
        <v>100</v>
      </c>
      <c r="B39" s="224">
        <v>4202</v>
      </c>
      <c r="C39" s="224">
        <v>4587</v>
      </c>
      <c r="D39" s="224">
        <v>5357</v>
      </c>
      <c r="E39" s="224">
        <v>5965</v>
      </c>
      <c r="F39" s="225">
        <f t="shared" si="2"/>
        <v>9.162303664921465</v>
      </c>
      <c r="G39" s="225">
        <f t="shared" si="2"/>
        <v>16.786570743405274</v>
      </c>
      <c r="H39" s="225">
        <f t="shared" si="2"/>
        <v>11.349635990293075</v>
      </c>
      <c r="I39" s="39"/>
    </row>
    <row r="40" spans="1:8" ht="19.5" customHeight="1">
      <c r="A40" s="238" t="s">
        <v>112</v>
      </c>
      <c r="B40" s="220">
        <f>B38-B39</f>
        <v>1687</v>
      </c>
      <c r="C40" s="220">
        <f>C38-C39</f>
        <v>1826</v>
      </c>
      <c r="D40" s="220">
        <f>D38-D39</f>
        <v>2335</v>
      </c>
      <c r="E40" s="220">
        <f>E38-E39</f>
        <v>2413</v>
      </c>
      <c r="F40" s="221">
        <f aca="true" t="shared" si="3" ref="F40:H41">(C40-B40)*100/B40</f>
        <v>8.239478363959691</v>
      </c>
      <c r="G40" s="221">
        <f t="shared" si="3"/>
        <v>27.87513691128149</v>
      </c>
      <c r="H40" s="221">
        <f t="shared" si="3"/>
        <v>3.3404710920770877</v>
      </c>
    </row>
    <row r="41" spans="1:9" ht="19.5" customHeight="1" thickBot="1">
      <c r="A41" s="239" t="s">
        <v>113</v>
      </c>
      <c r="B41" s="224">
        <v>155</v>
      </c>
      <c r="C41" s="224">
        <v>210</v>
      </c>
      <c r="D41" s="224">
        <v>165</v>
      </c>
      <c r="E41" s="224">
        <v>71</v>
      </c>
      <c r="F41" s="225">
        <f t="shared" si="3"/>
        <v>35.483870967741936</v>
      </c>
      <c r="G41" s="225">
        <f t="shared" si="3"/>
        <v>-21.428571428571427</v>
      </c>
      <c r="H41" s="225">
        <f t="shared" si="3"/>
        <v>-56.96969696969697</v>
      </c>
      <c r="I41" s="50"/>
    </row>
    <row r="42" spans="1:8" s="39" customFormat="1" ht="19.5" customHeight="1">
      <c r="A42" s="238" t="s">
        <v>115</v>
      </c>
      <c r="B42" s="227">
        <f>B40-B41</f>
        <v>1532</v>
      </c>
      <c r="C42" s="227">
        <f>C40-C41</f>
        <v>1616</v>
      </c>
      <c r="D42" s="227">
        <f>D40-D41</f>
        <v>2170</v>
      </c>
      <c r="E42" s="227">
        <f>E40-E41</f>
        <v>2342</v>
      </c>
      <c r="F42" s="221">
        <f aca="true" t="shared" si="4" ref="F42:H43">(C42-B42)*100/B42</f>
        <v>5.483028720626632</v>
      </c>
      <c r="G42" s="221">
        <f t="shared" si="4"/>
        <v>34.28217821782178</v>
      </c>
      <c r="H42" s="221">
        <f t="shared" si="4"/>
        <v>7.926267281105991</v>
      </c>
    </row>
    <row r="43" spans="1:8" s="39" customFormat="1" ht="23.25" thickBot="1">
      <c r="A43" s="239" t="s">
        <v>116</v>
      </c>
      <c r="B43" s="228">
        <v>758</v>
      </c>
      <c r="C43" s="228">
        <v>857</v>
      </c>
      <c r="D43" s="228">
        <v>779</v>
      </c>
      <c r="E43" s="228">
        <v>982</v>
      </c>
      <c r="F43" s="225">
        <f t="shared" si="4"/>
        <v>13.060686015831134</v>
      </c>
      <c r="G43" s="225">
        <f t="shared" si="4"/>
        <v>-9.101516919486581</v>
      </c>
      <c r="H43" s="225">
        <f t="shared" si="4"/>
        <v>26.059050064184852</v>
      </c>
    </row>
    <row r="44" spans="1:8" s="39" customFormat="1" ht="19.5" customHeight="1">
      <c r="A44" s="238" t="s">
        <v>117</v>
      </c>
      <c r="B44" s="227">
        <f>B42+B43</f>
        <v>2290</v>
      </c>
      <c r="C44" s="227">
        <f>C42+C43</f>
        <v>2473</v>
      </c>
      <c r="D44" s="227">
        <f>D42+D43</f>
        <v>2949</v>
      </c>
      <c r="E44" s="227">
        <f>E42+E43</f>
        <v>3324</v>
      </c>
      <c r="F44" s="229">
        <f aca="true" t="shared" si="5" ref="F44:H46">(C44-B44)*100/B44</f>
        <v>7.991266375545852</v>
      </c>
      <c r="G44" s="229">
        <f t="shared" si="5"/>
        <v>19.247877072381723</v>
      </c>
      <c r="H44" s="229">
        <f t="shared" si="5"/>
        <v>12.71617497456765</v>
      </c>
    </row>
    <row r="45" spans="1:8" s="39" customFormat="1" ht="19.5" customHeight="1">
      <c r="A45" s="240" t="s">
        <v>118</v>
      </c>
      <c r="B45" s="230">
        <v>722</v>
      </c>
      <c r="C45" s="230">
        <v>749</v>
      </c>
      <c r="D45" s="230">
        <v>850</v>
      </c>
      <c r="E45" s="230">
        <v>933</v>
      </c>
      <c r="F45" s="231">
        <f t="shared" si="5"/>
        <v>3.739612188365651</v>
      </c>
      <c r="G45" s="231">
        <f t="shared" si="5"/>
        <v>13.484646194926569</v>
      </c>
      <c r="H45" s="231">
        <f t="shared" si="5"/>
        <v>9.764705882352942</v>
      </c>
    </row>
    <row r="46" spans="1:8" s="39" customFormat="1" ht="19.5" customHeight="1" thickBot="1">
      <c r="A46" s="239" t="s">
        <v>119</v>
      </c>
      <c r="B46" s="228">
        <v>728</v>
      </c>
      <c r="C46" s="228">
        <v>774</v>
      </c>
      <c r="D46" s="228">
        <v>876</v>
      </c>
      <c r="E46" s="228">
        <v>903</v>
      </c>
      <c r="F46" s="232">
        <f t="shared" si="5"/>
        <v>6.318681318681318</v>
      </c>
      <c r="G46" s="232">
        <f t="shared" si="5"/>
        <v>13.178294573643411</v>
      </c>
      <c r="H46" s="232">
        <f t="shared" si="5"/>
        <v>3.0821917808219177</v>
      </c>
    </row>
    <row r="47" spans="1:8" s="39" customFormat="1" ht="19.5" customHeight="1">
      <c r="A47" s="238" t="s">
        <v>121</v>
      </c>
      <c r="B47" s="227">
        <f>B44-B45-B46</f>
        <v>840</v>
      </c>
      <c r="C47" s="227">
        <f>C44-C45-C46</f>
        <v>950</v>
      </c>
      <c r="D47" s="227">
        <f>D44-D45-D46</f>
        <v>1223</v>
      </c>
      <c r="E47" s="227">
        <f>E44-E45-E46</f>
        <v>1488</v>
      </c>
      <c r="F47" s="221">
        <f>(C47-B47)*100/B47</f>
        <v>13.095238095238095</v>
      </c>
      <c r="G47" s="221">
        <f>(D47-C47)*100/C47</f>
        <v>28.736842105263158</v>
      </c>
      <c r="H47" s="221">
        <f>(E47-D47)*100/D47</f>
        <v>21.668029435813573</v>
      </c>
    </row>
    <row r="48" spans="1:8" s="39" customFormat="1" ht="19.5" customHeight="1">
      <c r="A48" s="240" t="s">
        <v>120</v>
      </c>
      <c r="B48" s="230">
        <v>-23</v>
      </c>
      <c r="C48" s="230">
        <v>-20</v>
      </c>
      <c r="D48" s="230">
        <v>-5</v>
      </c>
      <c r="E48" s="230">
        <v>24</v>
      </c>
      <c r="F48" s="549"/>
      <c r="G48" s="549"/>
      <c r="H48" s="549"/>
    </row>
    <row r="49" spans="1:8" s="39" customFormat="1" ht="19.5" customHeight="1" thickBot="1">
      <c r="A49" s="239" t="s">
        <v>122</v>
      </c>
      <c r="B49" s="228">
        <v>121</v>
      </c>
      <c r="C49" s="228">
        <v>148</v>
      </c>
      <c r="D49" s="228">
        <v>211</v>
      </c>
      <c r="E49" s="228">
        <v>231</v>
      </c>
      <c r="F49" s="225">
        <f aca="true" t="shared" si="6" ref="F49:H50">(C49-B49)*100/B49</f>
        <v>22.31404958677686</v>
      </c>
      <c r="G49" s="225">
        <f t="shared" si="6"/>
        <v>42.567567567567565</v>
      </c>
      <c r="H49" s="225">
        <f t="shared" si="6"/>
        <v>9.47867298578199</v>
      </c>
    </row>
    <row r="50" spans="1:9" s="39" customFormat="1" ht="19.5" customHeight="1" thickBot="1">
      <c r="A50" s="241" t="s">
        <v>123</v>
      </c>
      <c r="B50" s="233">
        <f>B47+B48-B49</f>
        <v>696</v>
      </c>
      <c r="C50" s="233">
        <f>C47+C48-C49</f>
        <v>782</v>
      </c>
      <c r="D50" s="233">
        <f>D47+D48-D49</f>
        <v>1007</v>
      </c>
      <c r="E50" s="233">
        <f>E47+E48-E49</f>
        <v>1281</v>
      </c>
      <c r="F50" s="234">
        <f t="shared" si="6"/>
        <v>12.35632183908046</v>
      </c>
      <c r="G50" s="234">
        <f t="shared" si="6"/>
        <v>28.77237851662404</v>
      </c>
      <c r="H50" s="234">
        <f t="shared" si="6"/>
        <v>27.20953326713009</v>
      </c>
      <c r="I50" s="1"/>
    </row>
    <row r="52" spans="1:9" ht="19.5" customHeight="1">
      <c r="A52" s="514" t="s">
        <v>124</v>
      </c>
      <c r="B52" s="514"/>
      <c r="C52" s="514"/>
      <c r="D52" s="514"/>
      <c r="E52" s="514"/>
      <c r="F52" s="514"/>
      <c r="G52" s="514"/>
      <c r="H52" s="514"/>
      <c r="I52" s="514"/>
    </row>
    <row r="53" spans="1:6" ht="12.75">
      <c r="A53" s="5" t="s">
        <v>91</v>
      </c>
      <c r="B53" s="5"/>
      <c r="C53" s="2"/>
      <c r="D53" s="2"/>
      <c r="E53" s="2"/>
      <c r="F53" s="2"/>
    </row>
    <row r="54" ht="6.75" customHeight="1" thickBot="1"/>
    <row r="55" spans="1:4" ht="13.5" customHeight="1" thickBot="1">
      <c r="A55" s="48"/>
      <c r="B55" s="214" t="s">
        <v>125</v>
      </c>
      <c r="C55" s="214" t="s">
        <v>126</v>
      </c>
      <c r="D55" s="214" t="s">
        <v>127</v>
      </c>
    </row>
    <row r="56" spans="1:5" ht="19.5" customHeight="1">
      <c r="A56" s="238" t="s">
        <v>128</v>
      </c>
      <c r="B56" s="229">
        <v>59.2</v>
      </c>
      <c r="C56" s="229">
        <v>59.6</v>
      </c>
      <c r="D56" s="229">
        <v>58.8</v>
      </c>
      <c r="E56" s="39"/>
    </row>
    <row r="57" spans="1:4" ht="19.5" customHeight="1">
      <c r="A57" s="240" t="s">
        <v>132</v>
      </c>
      <c r="B57" s="231">
        <v>80.5</v>
      </c>
      <c r="C57" s="231">
        <v>81</v>
      </c>
      <c r="D57" s="231">
        <v>78.9</v>
      </c>
    </row>
    <row r="58" spans="1:5" ht="19.5" customHeight="1">
      <c r="A58" s="240" t="s">
        <v>131</v>
      </c>
      <c r="B58" s="231">
        <v>93</v>
      </c>
      <c r="C58" s="231">
        <v>93.8</v>
      </c>
      <c r="D58" s="231">
        <v>92.9</v>
      </c>
      <c r="E58" s="50"/>
    </row>
    <row r="59" spans="1:5" s="50" customFormat="1" ht="19.5" customHeight="1" thickBot="1">
      <c r="A59" s="242" t="s">
        <v>130</v>
      </c>
      <c r="B59" s="235">
        <v>97.7</v>
      </c>
      <c r="C59" s="235">
        <v>98.3</v>
      </c>
      <c r="D59" s="235">
        <v>98.1</v>
      </c>
      <c r="E59" s="39"/>
    </row>
    <row r="60" spans="1:4" ht="19.5" customHeight="1" thickBot="1">
      <c r="A60" s="244" t="s">
        <v>129</v>
      </c>
      <c r="B60" s="236">
        <v>100</v>
      </c>
      <c r="C60" s="236">
        <v>100</v>
      </c>
      <c r="D60" s="236">
        <v>100</v>
      </c>
    </row>
    <row r="63" spans="1:9" ht="19.5" customHeight="1">
      <c r="A63" s="514" t="s">
        <v>133</v>
      </c>
      <c r="B63" s="514"/>
      <c r="C63" s="514"/>
      <c r="D63" s="514"/>
      <c r="E63" s="514"/>
      <c r="F63" s="514"/>
      <c r="G63" s="514"/>
      <c r="H63" s="514"/>
      <c r="I63" s="514"/>
    </row>
    <row r="64" spans="1:6" ht="12.75" customHeight="1">
      <c r="A64" s="5" t="s">
        <v>91</v>
      </c>
      <c r="B64" s="5"/>
      <c r="C64" s="2"/>
      <c r="D64" s="2"/>
      <c r="E64" s="2"/>
      <c r="F64" s="2"/>
    </row>
    <row r="65" spans="1:6" ht="6.75" customHeight="1" thickBot="1">
      <c r="A65" s="5"/>
      <c r="B65" s="5"/>
      <c r="C65" s="2"/>
      <c r="D65" s="2"/>
      <c r="E65" s="2"/>
      <c r="F65" s="2"/>
    </row>
    <row r="66" spans="1:5" ht="13.5" customHeight="1" thickBot="1">
      <c r="A66" s="48"/>
      <c r="B66" s="214" t="s">
        <v>134</v>
      </c>
      <c r="C66" s="214" t="s">
        <v>135</v>
      </c>
      <c r="D66" s="2"/>
      <c r="E66" s="2"/>
    </row>
    <row r="67" spans="1:5" ht="16.5" customHeight="1">
      <c r="A67" s="238" t="s">
        <v>136</v>
      </c>
      <c r="B67" s="229">
        <v>67.19</v>
      </c>
      <c r="C67" s="229">
        <v>51.14</v>
      </c>
      <c r="D67" s="2"/>
      <c r="E67" s="2"/>
    </row>
    <row r="68" spans="1:5" ht="16.5" customHeight="1">
      <c r="A68" s="243" t="s">
        <v>137</v>
      </c>
      <c r="B68" s="231">
        <v>12.33</v>
      </c>
      <c r="C68" s="231">
        <v>17.02</v>
      </c>
      <c r="D68" s="2"/>
      <c r="E68" s="2"/>
    </row>
    <row r="69" spans="1:5" ht="16.5" customHeight="1">
      <c r="A69" s="243" t="s">
        <v>61</v>
      </c>
      <c r="B69" s="231">
        <v>5.58</v>
      </c>
      <c r="C69" s="231">
        <v>7.75</v>
      </c>
      <c r="D69" s="2"/>
      <c r="E69" s="2"/>
    </row>
    <row r="70" spans="1:5" ht="16.5" customHeight="1">
      <c r="A70" s="243" t="s">
        <v>60</v>
      </c>
      <c r="B70" s="231">
        <v>8.2</v>
      </c>
      <c r="C70" s="231">
        <v>11.53</v>
      </c>
      <c r="D70" s="2"/>
      <c r="E70" s="2"/>
    </row>
    <row r="71" spans="1:5" ht="16.5" customHeight="1" thickBot="1">
      <c r="A71" s="242" t="s">
        <v>59</v>
      </c>
      <c r="B71" s="235">
        <v>6.71</v>
      </c>
      <c r="C71" s="235">
        <v>12.56</v>
      </c>
      <c r="D71" s="2"/>
      <c r="E71" s="2"/>
    </row>
    <row r="72" spans="1:3" ht="16.5" customHeight="1" thickBot="1">
      <c r="A72" s="244" t="s">
        <v>389</v>
      </c>
      <c r="B72" s="236">
        <v>100</v>
      </c>
      <c r="C72" s="236">
        <v>100</v>
      </c>
    </row>
    <row r="74" spans="1:9" ht="19.5" customHeight="1">
      <c r="A74" s="514" t="s">
        <v>138</v>
      </c>
      <c r="B74" s="514"/>
      <c r="C74" s="514"/>
      <c r="D74" s="514"/>
      <c r="E74" s="514"/>
      <c r="F74" s="514"/>
      <c r="G74" s="514"/>
      <c r="H74" s="514"/>
      <c r="I74" s="514"/>
    </row>
    <row r="75" spans="1:6" ht="12.75">
      <c r="A75" s="5" t="s">
        <v>91</v>
      </c>
      <c r="B75" s="5"/>
      <c r="C75" s="2"/>
      <c r="D75" s="2"/>
      <c r="E75" s="2"/>
      <c r="F75" s="2"/>
    </row>
    <row r="76" spans="1:6" ht="6.75" customHeight="1" thickBot="1">
      <c r="A76" s="5"/>
      <c r="B76" s="5"/>
      <c r="C76" s="2"/>
      <c r="D76" s="2"/>
      <c r="E76" s="2"/>
      <c r="F76" s="2"/>
    </row>
    <row r="77" spans="1:5" ht="13.5" customHeight="1" thickBot="1">
      <c r="A77" s="48"/>
      <c r="B77" s="214" t="s">
        <v>134</v>
      </c>
      <c r="C77" s="214" t="s">
        <v>139</v>
      </c>
      <c r="D77" s="2"/>
      <c r="E77" s="2"/>
    </row>
    <row r="78" spans="1:5" ht="16.5" customHeight="1">
      <c r="A78" s="238" t="s">
        <v>136</v>
      </c>
      <c r="B78" s="221">
        <v>82.46</v>
      </c>
      <c r="C78" s="221">
        <v>60.74</v>
      </c>
      <c r="D78" s="2"/>
      <c r="E78" s="2"/>
    </row>
    <row r="79" spans="1:5" ht="16.5" customHeight="1">
      <c r="A79" s="243" t="s">
        <v>137</v>
      </c>
      <c r="B79" s="223">
        <v>7.49</v>
      </c>
      <c r="C79" s="223">
        <v>14.6</v>
      </c>
      <c r="D79" s="2"/>
      <c r="E79" s="2"/>
    </row>
    <row r="80" spans="1:5" ht="16.5" customHeight="1">
      <c r="A80" s="243" t="s">
        <v>61</v>
      </c>
      <c r="B80" s="223">
        <v>3.37</v>
      </c>
      <c r="C80" s="223">
        <v>6.16</v>
      </c>
      <c r="D80" s="2"/>
      <c r="E80" s="2"/>
    </row>
    <row r="81" spans="1:5" ht="16.5" customHeight="1">
      <c r="A81" s="243" t="s">
        <v>60</v>
      </c>
      <c r="B81" s="223">
        <v>3.08</v>
      </c>
      <c r="C81" s="223">
        <v>7.6</v>
      </c>
      <c r="D81" s="2"/>
      <c r="E81" s="2"/>
    </row>
    <row r="82" spans="1:5" ht="16.5" customHeight="1" thickBot="1">
      <c r="A82" s="239" t="s">
        <v>59</v>
      </c>
      <c r="B82" s="232">
        <v>3.6</v>
      </c>
      <c r="C82" s="232">
        <v>10.9</v>
      </c>
      <c r="D82" s="2"/>
      <c r="E82" s="2"/>
    </row>
    <row r="83" spans="1:3" ht="16.5" customHeight="1" thickBot="1">
      <c r="A83" s="247" t="s">
        <v>389</v>
      </c>
      <c r="B83" s="236">
        <v>100</v>
      </c>
      <c r="C83" s="236">
        <v>100</v>
      </c>
    </row>
    <row r="85" spans="1:9" ht="19.5" customHeight="1">
      <c r="A85" s="514" t="s">
        <v>140</v>
      </c>
      <c r="B85" s="514"/>
      <c r="C85" s="514"/>
      <c r="D85" s="514"/>
      <c r="E85" s="514"/>
      <c r="F85" s="514"/>
      <c r="G85" s="514"/>
      <c r="H85" s="514"/>
      <c r="I85" s="514"/>
    </row>
    <row r="86" spans="1:6" ht="12.75">
      <c r="A86" s="5" t="s">
        <v>91</v>
      </c>
      <c r="B86" s="5"/>
      <c r="C86" s="2"/>
      <c r="D86" s="2"/>
      <c r="E86" s="2"/>
      <c r="F86" s="2"/>
    </row>
    <row r="87" spans="1:6" ht="6.75" customHeight="1" thickBot="1">
      <c r="A87" s="5"/>
      <c r="B87" s="5"/>
      <c r="C87" s="2"/>
      <c r="D87" s="2"/>
      <c r="E87" s="2"/>
      <c r="F87" s="2"/>
    </row>
    <row r="88" spans="1:5" ht="13.5" thickBot="1">
      <c r="A88" s="48"/>
      <c r="B88" s="214" t="s">
        <v>94</v>
      </c>
      <c r="C88" s="214" t="s">
        <v>81</v>
      </c>
      <c r="D88" s="2"/>
      <c r="E88" s="2"/>
    </row>
    <row r="89" spans="1:5" ht="16.5" customHeight="1">
      <c r="A89" s="238" t="s">
        <v>456</v>
      </c>
      <c r="B89" s="220">
        <v>6290</v>
      </c>
      <c r="C89" s="221">
        <f>B89*100/B$97</f>
        <v>3.6348926579791385</v>
      </c>
      <c r="D89" s="2"/>
      <c r="E89" s="2"/>
    </row>
    <row r="90" spans="1:5" ht="16.5" customHeight="1">
      <c r="A90" s="240" t="s">
        <v>457</v>
      </c>
      <c r="B90" s="222">
        <v>92257</v>
      </c>
      <c r="C90" s="223">
        <f aca="true" t="shared" si="7" ref="C90:C96">B90*100/B$97</f>
        <v>53.313877893033606</v>
      </c>
      <c r="D90" s="2"/>
      <c r="E90" s="2"/>
    </row>
    <row r="91" spans="1:5" ht="16.5" customHeight="1">
      <c r="A91" s="240" t="s">
        <v>458</v>
      </c>
      <c r="B91" s="222">
        <v>54111</v>
      </c>
      <c r="C91" s="223">
        <f t="shared" si="7"/>
        <v>31.269900892831345</v>
      </c>
      <c r="D91" s="2"/>
      <c r="E91" s="2"/>
    </row>
    <row r="92" spans="1:5" ht="16.5" customHeight="1">
      <c r="A92" s="240" t="s">
        <v>459</v>
      </c>
      <c r="B92" s="222">
        <v>14218</v>
      </c>
      <c r="C92" s="223">
        <f t="shared" si="7"/>
        <v>8.216359906382733</v>
      </c>
      <c r="D92" s="2"/>
      <c r="E92" s="2"/>
    </row>
    <row r="93" spans="1:5" ht="16.5" customHeight="1">
      <c r="A93" s="243" t="s">
        <v>460</v>
      </c>
      <c r="B93" s="222">
        <v>2287</v>
      </c>
      <c r="C93" s="223">
        <f t="shared" si="7"/>
        <v>1.3216215435291399</v>
      </c>
      <c r="D93" s="2"/>
      <c r="E93" s="2"/>
    </row>
    <row r="94" spans="1:5" ht="16.5" customHeight="1">
      <c r="A94" s="243" t="s">
        <v>461</v>
      </c>
      <c r="B94" s="222">
        <v>2754</v>
      </c>
      <c r="C94" s="223">
        <f t="shared" si="7"/>
        <v>1.5914935421422174</v>
      </c>
      <c r="D94" s="2"/>
      <c r="E94" s="2"/>
    </row>
    <row r="95" spans="1:5" ht="16.5" customHeight="1">
      <c r="A95" s="243" t="s">
        <v>462</v>
      </c>
      <c r="B95" s="222">
        <v>583</v>
      </c>
      <c r="C95" s="223">
        <f t="shared" si="7"/>
        <v>0.33690658499234305</v>
      </c>
      <c r="D95" s="2"/>
      <c r="E95" s="2"/>
    </row>
    <row r="96" spans="1:5" ht="16.5" customHeight="1" thickBot="1">
      <c r="A96" s="239" t="s">
        <v>463</v>
      </c>
      <c r="B96" s="228">
        <v>545</v>
      </c>
      <c r="C96" s="225">
        <f t="shared" si="7"/>
        <v>0.3149469791094802</v>
      </c>
      <c r="D96" s="2"/>
      <c r="E96" s="2"/>
    </row>
    <row r="97" spans="1:3" ht="16.5" customHeight="1" thickBot="1">
      <c r="A97" s="244" t="s">
        <v>389</v>
      </c>
      <c r="B97" s="248">
        <f>SUM(B89:B96)</f>
        <v>173045</v>
      </c>
      <c r="C97" s="234">
        <f>SUM(C89:C96)</f>
        <v>100</v>
      </c>
    </row>
    <row r="98" spans="1:9" ht="19.5" customHeight="1">
      <c r="A98" s="514" t="s">
        <v>141</v>
      </c>
      <c r="B98" s="514"/>
      <c r="C98" s="514"/>
      <c r="D98" s="514"/>
      <c r="E98" s="514"/>
      <c r="F98" s="514"/>
      <c r="G98" s="514"/>
      <c r="H98" s="514"/>
      <c r="I98" s="514"/>
    </row>
    <row r="99" spans="1:6" ht="12.75">
      <c r="A99" s="5" t="s">
        <v>91</v>
      </c>
      <c r="B99" s="5"/>
      <c r="C99" s="2"/>
      <c r="D99" s="2"/>
      <c r="E99" s="2"/>
      <c r="F99" s="2"/>
    </row>
    <row r="100" spans="1:6" ht="6.75" customHeight="1" thickBot="1">
      <c r="A100" s="5"/>
      <c r="B100" s="5"/>
      <c r="C100" s="2"/>
      <c r="D100" s="2"/>
      <c r="E100" s="2"/>
      <c r="F100" s="2"/>
    </row>
    <row r="101" spans="1:5" ht="13.5" customHeight="1" thickBot="1">
      <c r="A101" s="48"/>
      <c r="B101" s="214" t="s">
        <v>94</v>
      </c>
      <c r="C101" s="214" t="s">
        <v>81</v>
      </c>
      <c r="D101" s="2"/>
      <c r="E101" s="2"/>
    </row>
    <row r="102" spans="1:5" ht="19.5" customHeight="1">
      <c r="A102" s="238" t="s">
        <v>456</v>
      </c>
      <c r="B102" s="227">
        <v>15</v>
      </c>
      <c r="C102" s="249">
        <f>B102*100/B$110</f>
        <v>0.04318162190171863</v>
      </c>
      <c r="D102" s="2"/>
      <c r="E102" s="2"/>
    </row>
    <row r="103" spans="1:5" ht="19.5" customHeight="1">
      <c r="A103" s="240" t="s">
        <v>457</v>
      </c>
      <c r="B103" s="230">
        <v>1221</v>
      </c>
      <c r="C103" s="231">
        <f aca="true" t="shared" si="8" ref="C103:C109">B103*100/B$110</f>
        <v>3.5149840227998963</v>
      </c>
      <c r="D103" s="2"/>
      <c r="E103" s="2"/>
    </row>
    <row r="104" spans="1:5" ht="19.5" customHeight="1">
      <c r="A104" s="240" t="s">
        <v>458</v>
      </c>
      <c r="B104" s="230">
        <v>2635</v>
      </c>
      <c r="C104" s="231">
        <f t="shared" si="8"/>
        <v>7.585571580735239</v>
      </c>
      <c r="D104" s="2"/>
      <c r="E104" s="2"/>
    </row>
    <row r="105" spans="1:5" ht="19.5" customHeight="1">
      <c r="A105" s="240" t="s">
        <v>459</v>
      </c>
      <c r="B105" s="230">
        <v>2864</v>
      </c>
      <c r="C105" s="231">
        <f t="shared" si="8"/>
        <v>8.24481100843481</v>
      </c>
      <c r="D105" s="2"/>
      <c r="E105" s="2"/>
    </row>
    <row r="106" spans="1:5" ht="19.5" customHeight="1">
      <c r="A106" s="243" t="s">
        <v>460</v>
      </c>
      <c r="B106" s="230">
        <v>1604</v>
      </c>
      <c r="C106" s="231">
        <f t="shared" si="8"/>
        <v>4.617554768690446</v>
      </c>
      <c r="D106" s="2"/>
      <c r="E106" s="2"/>
    </row>
    <row r="107" spans="1:5" ht="19.5" customHeight="1">
      <c r="A107" s="243" t="s">
        <v>461</v>
      </c>
      <c r="B107" s="230">
        <v>6292</v>
      </c>
      <c r="C107" s="231">
        <f t="shared" si="8"/>
        <v>18.11325100037424</v>
      </c>
      <c r="D107" s="2"/>
      <c r="E107" s="2"/>
    </row>
    <row r="108" spans="1:5" ht="19.5" customHeight="1">
      <c r="A108" s="243" t="s">
        <v>462</v>
      </c>
      <c r="B108" s="230">
        <v>4066</v>
      </c>
      <c r="C108" s="231">
        <f t="shared" si="8"/>
        <v>11.705098310159196</v>
      </c>
      <c r="D108" s="2"/>
      <c r="E108" s="2"/>
    </row>
    <row r="109" spans="1:5" ht="19.5" customHeight="1" thickBot="1">
      <c r="A109" s="242" t="s">
        <v>463</v>
      </c>
      <c r="B109" s="250">
        <v>16040</v>
      </c>
      <c r="C109" s="235">
        <f t="shared" si="8"/>
        <v>46.17554768690445</v>
      </c>
      <c r="D109" s="2"/>
      <c r="E109" s="2"/>
    </row>
    <row r="110" spans="1:3" ht="19.5" customHeight="1" thickBot="1">
      <c r="A110" s="244" t="s">
        <v>389</v>
      </c>
      <c r="B110" s="233">
        <f>SUM(B102:B109)</f>
        <v>34737</v>
      </c>
      <c r="C110" s="236">
        <f>SUM(C102:C109)</f>
        <v>100</v>
      </c>
    </row>
    <row r="111" ht="12" customHeight="1"/>
    <row r="112" spans="1:9" ht="19.5" customHeight="1">
      <c r="A112" s="514" t="s">
        <v>142</v>
      </c>
      <c r="B112" s="514"/>
      <c r="C112" s="514"/>
      <c r="D112" s="514"/>
      <c r="E112" s="514"/>
      <c r="F112" s="514"/>
      <c r="G112" s="514"/>
      <c r="H112" s="514"/>
      <c r="I112" s="514"/>
    </row>
    <row r="113" spans="1:6" ht="12.75">
      <c r="A113" s="5" t="s">
        <v>91</v>
      </c>
      <c r="B113" s="5"/>
      <c r="C113" s="2"/>
      <c r="D113" s="2"/>
      <c r="E113" s="2"/>
      <c r="F113" s="2"/>
    </row>
    <row r="114" spans="1:6" ht="6.75" customHeight="1" thickBot="1">
      <c r="A114" s="5"/>
      <c r="B114" s="5"/>
      <c r="C114" s="2"/>
      <c r="D114" s="2"/>
      <c r="E114" s="2"/>
      <c r="F114" s="2"/>
    </row>
    <row r="115" spans="1:6" ht="13.5" thickBot="1">
      <c r="A115" s="5"/>
      <c r="B115" s="118">
        <v>2004</v>
      </c>
      <c r="C115" s="118">
        <v>2005</v>
      </c>
      <c r="D115" s="118">
        <v>2006</v>
      </c>
      <c r="E115" s="118">
        <v>2007</v>
      </c>
      <c r="F115" s="118">
        <v>2008</v>
      </c>
    </row>
    <row r="116" spans="1:6" ht="19.5" customHeight="1" thickBot="1">
      <c r="A116" s="244" t="s">
        <v>143</v>
      </c>
      <c r="B116" s="217">
        <f>SUM(B117:B118)</f>
        <v>63</v>
      </c>
      <c r="C116" s="217">
        <f>SUM(C117:C118)</f>
        <v>64</v>
      </c>
      <c r="D116" s="217">
        <f>SUM(D117:D118)</f>
        <v>63</v>
      </c>
      <c r="E116" s="217">
        <f>SUM(E117:E118)</f>
        <v>66</v>
      </c>
      <c r="F116" s="217">
        <f>SUM(F117:F118)</f>
        <v>64</v>
      </c>
    </row>
    <row r="117" spans="1:6" ht="19.5" customHeight="1">
      <c r="A117" s="258" t="s">
        <v>144</v>
      </c>
      <c r="B117" s="259">
        <v>53</v>
      </c>
      <c r="C117" s="260">
        <v>54</v>
      </c>
      <c r="D117" s="260">
        <v>54</v>
      </c>
      <c r="E117" s="260">
        <v>54</v>
      </c>
      <c r="F117" s="260">
        <v>52</v>
      </c>
    </row>
    <row r="118" spans="1:6" ht="19.5" customHeight="1" thickBot="1">
      <c r="A118" s="239" t="s">
        <v>145</v>
      </c>
      <c r="B118" s="252">
        <v>10</v>
      </c>
      <c r="C118" s="216">
        <v>10</v>
      </c>
      <c r="D118" s="216">
        <v>9</v>
      </c>
      <c r="E118" s="216">
        <v>12</v>
      </c>
      <c r="F118" s="216">
        <v>12</v>
      </c>
    </row>
    <row r="119" spans="1:6" ht="19.5" customHeight="1" thickBot="1">
      <c r="A119" s="244" t="s">
        <v>146</v>
      </c>
      <c r="B119" s="233">
        <f>SUM(B120:B124)</f>
        <v>799</v>
      </c>
      <c r="C119" s="233">
        <f>SUM(C120:C124)</f>
        <v>825</v>
      </c>
      <c r="D119" s="233">
        <f>SUM(D120:D124)</f>
        <v>830</v>
      </c>
      <c r="E119" s="233">
        <f>SUM(E120:E124)</f>
        <v>847</v>
      </c>
      <c r="F119" s="233">
        <f>SUM(F120:F124)</f>
        <v>860</v>
      </c>
    </row>
    <row r="120" spans="1:6" ht="19.5" customHeight="1">
      <c r="A120" s="238" t="s">
        <v>136</v>
      </c>
      <c r="B120" s="227">
        <v>436</v>
      </c>
      <c r="C120" s="227">
        <v>449</v>
      </c>
      <c r="D120" s="227">
        <v>454</v>
      </c>
      <c r="E120" s="227">
        <v>458</v>
      </c>
      <c r="F120" s="227">
        <v>468</v>
      </c>
    </row>
    <row r="121" spans="1:6" ht="19.5" customHeight="1">
      <c r="A121" s="243" t="s">
        <v>137</v>
      </c>
      <c r="B121" s="230">
        <v>141</v>
      </c>
      <c r="C121" s="230">
        <v>147</v>
      </c>
      <c r="D121" s="230">
        <v>147</v>
      </c>
      <c r="E121" s="230">
        <v>150</v>
      </c>
      <c r="F121" s="230">
        <v>154</v>
      </c>
    </row>
    <row r="122" spans="1:6" ht="19.5" customHeight="1">
      <c r="A122" s="240" t="s">
        <v>59</v>
      </c>
      <c r="B122" s="230">
        <v>77</v>
      </c>
      <c r="C122" s="230">
        <v>82</v>
      </c>
      <c r="D122" s="230">
        <v>82</v>
      </c>
      <c r="E122" s="230">
        <v>83</v>
      </c>
      <c r="F122" s="230">
        <v>86</v>
      </c>
    </row>
    <row r="123" spans="1:6" ht="19.5" customHeight="1">
      <c r="A123" s="243" t="s">
        <v>60</v>
      </c>
      <c r="B123" s="230">
        <v>86</v>
      </c>
      <c r="C123" s="230">
        <v>86</v>
      </c>
      <c r="D123" s="230">
        <v>85</v>
      </c>
      <c r="E123" s="230">
        <v>91</v>
      </c>
      <c r="F123" s="230">
        <v>91</v>
      </c>
    </row>
    <row r="124" spans="1:6" ht="19.5" customHeight="1" thickBot="1">
      <c r="A124" s="253" t="s">
        <v>61</v>
      </c>
      <c r="B124" s="228">
        <v>59</v>
      </c>
      <c r="C124" s="228">
        <v>61</v>
      </c>
      <c r="D124" s="228">
        <v>62</v>
      </c>
      <c r="E124" s="228">
        <v>65</v>
      </c>
      <c r="F124" s="228">
        <v>61</v>
      </c>
    </row>
    <row r="129" spans="1:10" ht="19.5" customHeight="1">
      <c r="A129" s="514" t="s">
        <v>467</v>
      </c>
      <c r="B129" s="514"/>
      <c r="C129" s="514"/>
      <c r="D129" s="514"/>
      <c r="E129" s="514"/>
      <c r="F129" s="514"/>
      <c r="G129" s="514"/>
      <c r="H129" s="36"/>
      <c r="I129" s="2"/>
      <c r="J129" s="36"/>
    </row>
    <row r="130" spans="1:10" ht="12.75">
      <c r="A130" s="5" t="s">
        <v>91</v>
      </c>
      <c r="B130" s="5"/>
      <c r="C130" s="2"/>
      <c r="D130" s="2"/>
      <c r="E130" s="2"/>
      <c r="F130" s="2"/>
      <c r="G130" s="2"/>
      <c r="H130" s="2"/>
      <c r="J130" s="2"/>
    </row>
    <row r="131" spans="1:10" ht="6.75" customHeight="1" thickBot="1">
      <c r="A131" s="5"/>
      <c r="B131" s="5"/>
      <c r="C131" s="2"/>
      <c r="D131" s="2"/>
      <c r="E131" s="2"/>
      <c r="F131" s="2"/>
      <c r="G131" s="2"/>
      <c r="H131" s="2"/>
      <c r="J131" s="2"/>
    </row>
    <row r="132" spans="1:7" ht="13.5" customHeight="1" thickBot="1">
      <c r="A132" s="39"/>
      <c r="B132" s="66">
        <v>2003</v>
      </c>
      <c r="C132" s="66">
        <v>2004</v>
      </c>
      <c r="D132" s="66">
        <v>2005</v>
      </c>
      <c r="E132" s="66">
        <v>2006</v>
      </c>
      <c r="F132" s="66">
        <v>2007</v>
      </c>
      <c r="G132" s="66">
        <v>2008</v>
      </c>
    </row>
    <row r="133" spans="1:7" ht="18" customHeight="1" thickBot="1">
      <c r="A133" s="257" t="s">
        <v>147</v>
      </c>
      <c r="B133" s="255">
        <v>15563</v>
      </c>
      <c r="C133" s="255">
        <v>15493</v>
      </c>
      <c r="D133" s="255">
        <v>15993</v>
      </c>
      <c r="E133" s="255">
        <v>16538</v>
      </c>
      <c r="F133" s="256">
        <v>17664</v>
      </c>
      <c r="G133" s="256">
        <v>18632</v>
      </c>
    </row>
    <row r="134" spans="1:7" ht="18" customHeight="1" thickBot="1">
      <c r="A134" s="458" t="s">
        <v>148</v>
      </c>
      <c r="B134" s="458"/>
      <c r="C134" s="458"/>
      <c r="D134" s="458"/>
      <c r="E134" s="458"/>
      <c r="F134" s="458"/>
      <c r="G134" s="458"/>
    </row>
    <row r="135" spans="1:7" ht="18" customHeight="1">
      <c r="A135" s="258" t="s">
        <v>149</v>
      </c>
      <c r="B135" s="254">
        <v>42.8</v>
      </c>
      <c r="C135" s="254">
        <v>43.5</v>
      </c>
      <c r="D135" s="254">
        <v>43.6</v>
      </c>
      <c r="E135" s="254">
        <v>43.4</v>
      </c>
      <c r="F135" s="254">
        <v>44</v>
      </c>
      <c r="G135" s="254">
        <v>45</v>
      </c>
    </row>
    <row r="136" spans="1:7" ht="18" customHeight="1" thickBot="1">
      <c r="A136" s="242" t="s">
        <v>150</v>
      </c>
      <c r="B136" s="250">
        <v>57.2</v>
      </c>
      <c r="C136" s="250">
        <v>56.5</v>
      </c>
      <c r="D136" s="250">
        <v>56.4</v>
      </c>
      <c r="E136" s="250">
        <v>56.6</v>
      </c>
      <c r="F136" s="250">
        <v>56</v>
      </c>
      <c r="G136" s="250">
        <v>55</v>
      </c>
    </row>
    <row r="137" spans="1:7" ht="18" customHeight="1" thickBot="1">
      <c r="A137" s="543" t="s">
        <v>151</v>
      </c>
      <c r="B137" s="543"/>
      <c r="C137" s="543"/>
      <c r="D137" s="543"/>
      <c r="E137" s="543"/>
      <c r="F137" s="543"/>
      <c r="G137" s="543"/>
    </row>
    <row r="138" spans="1:7" ht="18" customHeight="1">
      <c r="A138" s="258" t="s">
        <v>152</v>
      </c>
      <c r="B138" s="254">
        <v>5.7</v>
      </c>
      <c r="C138" s="254">
        <v>6.6</v>
      </c>
      <c r="D138" s="254">
        <v>7.1</v>
      </c>
      <c r="E138" s="254">
        <v>7.7</v>
      </c>
      <c r="F138" s="254">
        <v>9</v>
      </c>
      <c r="G138" s="254">
        <v>11</v>
      </c>
    </row>
    <row r="139" spans="1:7" ht="18" customHeight="1">
      <c r="A139" s="240" t="s">
        <v>153</v>
      </c>
      <c r="B139" s="230">
        <v>48.8</v>
      </c>
      <c r="C139" s="230">
        <v>48.3</v>
      </c>
      <c r="D139" s="230">
        <v>47.9</v>
      </c>
      <c r="E139" s="230">
        <v>47.5</v>
      </c>
      <c r="F139" s="230">
        <v>47</v>
      </c>
      <c r="G139" s="230">
        <v>45</v>
      </c>
    </row>
    <row r="140" spans="1:7" ht="18" customHeight="1">
      <c r="A140" s="240" t="s">
        <v>154</v>
      </c>
      <c r="B140" s="230">
        <v>42</v>
      </c>
      <c r="C140" s="230">
        <v>41.8</v>
      </c>
      <c r="D140" s="230">
        <v>42.1</v>
      </c>
      <c r="E140" s="230">
        <v>41.8</v>
      </c>
      <c r="F140" s="230">
        <v>41</v>
      </c>
      <c r="G140" s="230">
        <v>41</v>
      </c>
    </row>
    <row r="141" spans="1:7" ht="18" customHeight="1" thickBot="1">
      <c r="A141" s="242" t="s">
        <v>155</v>
      </c>
      <c r="B141" s="250">
        <v>3.5</v>
      </c>
      <c r="C141" s="250">
        <v>3.3</v>
      </c>
      <c r="D141" s="250">
        <v>2.9</v>
      </c>
      <c r="E141" s="250">
        <v>3</v>
      </c>
      <c r="F141" s="250">
        <v>3</v>
      </c>
      <c r="G141" s="250">
        <v>3</v>
      </c>
    </row>
    <row r="142" spans="1:7" ht="18" customHeight="1" thickBot="1">
      <c r="A142" s="543" t="s">
        <v>156</v>
      </c>
      <c r="B142" s="543"/>
      <c r="C142" s="543"/>
      <c r="D142" s="543"/>
      <c r="E142" s="543"/>
      <c r="F142" s="543"/>
      <c r="G142" s="543"/>
    </row>
    <row r="143" spans="1:7" ht="18" customHeight="1">
      <c r="A143" s="258" t="s">
        <v>158</v>
      </c>
      <c r="B143" s="254">
        <v>34.3</v>
      </c>
      <c r="C143" s="254">
        <v>34.6</v>
      </c>
      <c r="D143" s="254">
        <v>34.9</v>
      </c>
      <c r="E143" s="254">
        <v>35.7</v>
      </c>
      <c r="F143" s="254">
        <v>38</v>
      </c>
      <c r="G143" s="254">
        <v>39</v>
      </c>
    </row>
    <row r="144" spans="1:7" ht="18" customHeight="1" thickBot="1">
      <c r="A144" s="242" t="s">
        <v>159</v>
      </c>
      <c r="B144" s="250">
        <v>65.7</v>
      </c>
      <c r="C144" s="250">
        <v>65.4</v>
      </c>
      <c r="D144" s="250">
        <v>65.1</v>
      </c>
      <c r="E144" s="250">
        <v>64.3</v>
      </c>
      <c r="F144" s="250">
        <v>62</v>
      </c>
      <c r="G144" s="250">
        <v>61</v>
      </c>
    </row>
    <row r="145" spans="1:7" ht="18" customHeight="1" thickBot="1">
      <c r="A145" s="543" t="s">
        <v>157</v>
      </c>
      <c r="B145" s="543"/>
      <c r="C145" s="543"/>
      <c r="D145" s="543"/>
      <c r="E145" s="543"/>
      <c r="F145" s="543"/>
      <c r="G145" s="543"/>
    </row>
    <row r="146" spans="1:7" ht="18" customHeight="1">
      <c r="A146" s="258" t="s">
        <v>160</v>
      </c>
      <c r="B146" s="254">
        <v>13.7</v>
      </c>
      <c r="C146" s="254">
        <v>13.4</v>
      </c>
      <c r="D146" s="254">
        <v>14.1</v>
      </c>
      <c r="E146" s="254">
        <v>14</v>
      </c>
      <c r="F146" s="254">
        <v>14</v>
      </c>
      <c r="G146" s="254">
        <v>14</v>
      </c>
    </row>
    <row r="147" spans="1:7" ht="18" customHeight="1">
      <c r="A147" s="240" t="s">
        <v>161</v>
      </c>
      <c r="B147" s="230">
        <v>31.7</v>
      </c>
      <c r="C147" s="230">
        <v>31.8</v>
      </c>
      <c r="D147" s="230">
        <v>29.8</v>
      </c>
      <c r="E147" s="230">
        <v>32</v>
      </c>
      <c r="F147" s="230">
        <v>32</v>
      </c>
      <c r="G147" s="230">
        <v>31</v>
      </c>
    </row>
    <row r="148" spans="1:7" ht="18" customHeight="1">
      <c r="A148" s="240" t="s">
        <v>162</v>
      </c>
      <c r="B148" s="230">
        <v>44.8</v>
      </c>
      <c r="C148" s="230">
        <v>45.5</v>
      </c>
      <c r="D148" s="230">
        <v>47.8</v>
      </c>
      <c r="E148" s="230">
        <v>46</v>
      </c>
      <c r="F148" s="230">
        <v>46</v>
      </c>
      <c r="G148" s="230">
        <v>48</v>
      </c>
    </row>
    <row r="149" spans="1:7" ht="18" customHeight="1" thickBot="1">
      <c r="A149" s="242" t="s">
        <v>163</v>
      </c>
      <c r="B149" s="250">
        <v>9.8</v>
      </c>
      <c r="C149" s="250">
        <v>9.3</v>
      </c>
      <c r="D149" s="250">
        <v>8.3</v>
      </c>
      <c r="E149" s="250">
        <v>8</v>
      </c>
      <c r="F149" s="250">
        <v>8</v>
      </c>
      <c r="G149" s="250">
        <v>7</v>
      </c>
    </row>
    <row r="150" spans="1:7" ht="18" customHeight="1" thickBot="1">
      <c r="A150" s="543" t="s">
        <v>164</v>
      </c>
      <c r="B150" s="543"/>
      <c r="C150" s="543"/>
      <c r="D150" s="543"/>
      <c r="E150" s="543"/>
      <c r="F150" s="543"/>
      <c r="G150" s="543"/>
    </row>
    <row r="151" spans="1:7" ht="18" customHeight="1">
      <c r="A151" s="258" t="s">
        <v>165</v>
      </c>
      <c r="B151" s="254">
        <v>21.3</v>
      </c>
      <c r="C151" s="254">
        <v>18.8</v>
      </c>
      <c r="D151" s="254">
        <v>17.5</v>
      </c>
      <c r="E151" s="254">
        <v>17.4</v>
      </c>
      <c r="F151" s="254">
        <v>16</v>
      </c>
      <c r="G151" s="254">
        <v>14</v>
      </c>
    </row>
    <row r="152" spans="1:7" ht="18" customHeight="1">
      <c r="A152" s="240" t="s">
        <v>166</v>
      </c>
      <c r="B152" s="230">
        <v>26.3</v>
      </c>
      <c r="C152" s="230">
        <v>27.3</v>
      </c>
      <c r="D152" s="230">
        <v>26.7</v>
      </c>
      <c r="E152" s="230">
        <v>25.6</v>
      </c>
      <c r="F152" s="230">
        <v>23</v>
      </c>
      <c r="G152" s="230">
        <v>22</v>
      </c>
    </row>
    <row r="153" spans="1:7" ht="18" customHeight="1" thickBot="1">
      <c r="A153" s="242" t="s">
        <v>167</v>
      </c>
      <c r="B153" s="250">
        <v>52.4</v>
      </c>
      <c r="C153" s="250">
        <v>53.9</v>
      </c>
      <c r="D153" s="250">
        <v>55.8</v>
      </c>
      <c r="E153" s="250">
        <v>57</v>
      </c>
      <c r="F153" s="250">
        <v>61</v>
      </c>
      <c r="G153" s="250">
        <v>64</v>
      </c>
    </row>
    <row r="154" spans="1:7" ht="18" customHeight="1" thickBot="1">
      <c r="A154" s="543" t="s">
        <v>168</v>
      </c>
      <c r="B154" s="543"/>
      <c r="C154" s="543"/>
      <c r="D154" s="543"/>
      <c r="E154" s="543"/>
      <c r="F154" s="543"/>
      <c r="G154" s="543"/>
    </row>
    <row r="155" spans="1:7" ht="18" customHeight="1">
      <c r="A155" s="258" t="s">
        <v>169</v>
      </c>
      <c r="B155" s="544"/>
      <c r="C155" s="254">
        <v>91</v>
      </c>
      <c r="D155" s="254">
        <v>92</v>
      </c>
      <c r="E155" s="254">
        <v>92</v>
      </c>
      <c r="F155" s="254">
        <v>93</v>
      </c>
      <c r="G155" s="254">
        <v>94</v>
      </c>
    </row>
    <row r="156" spans="1:7" ht="18" customHeight="1">
      <c r="A156" s="240" t="s">
        <v>170</v>
      </c>
      <c r="B156" s="545"/>
      <c r="C156" s="230">
        <v>7</v>
      </c>
      <c r="D156" s="230">
        <v>7</v>
      </c>
      <c r="E156" s="230">
        <v>6</v>
      </c>
      <c r="F156" s="230">
        <v>6</v>
      </c>
      <c r="G156" s="230">
        <v>4</v>
      </c>
    </row>
    <row r="157" spans="1:7" ht="18" customHeight="1" thickBot="1">
      <c r="A157" s="239" t="s">
        <v>171</v>
      </c>
      <c r="B157" s="546"/>
      <c r="C157" s="228">
        <v>1</v>
      </c>
      <c r="D157" s="228">
        <v>2</v>
      </c>
      <c r="E157" s="228">
        <v>2</v>
      </c>
      <c r="F157" s="228">
        <v>2</v>
      </c>
      <c r="G157" s="228">
        <v>2</v>
      </c>
    </row>
  </sheetData>
  <sheetProtection/>
  <mergeCells count="24">
    <mergeCell ref="A142:G142"/>
    <mergeCell ref="A74:I74"/>
    <mergeCell ref="A33:I33"/>
    <mergeCell ref="B36:E36"/>
    <mergeCell ref="F36:H36"/>
    <mergeCell ref="F48:H48"/>
    <mergeCell ref="A52:I52"/>
    <mergeCell ref="A63:I63"/>
    <mergeCell ref="A4:B4"/>
    <mergeCell ref="A1:I1"/>
    <mergeCell ref="A10:I10"/>
    <mergeCell ref="B13:E13"/>
    <mergeCell ref="F13:I13"/>
    <mergeCell ref="F25:I25"/>
    <mergeCell ref="A154:G154"/>
    <mergeCell ref="B155:B157"/>
    <mergeCell ref="A129:G129"/>
    <mergeCell ref="A85:I85"/>
    <mergeCell ref="A98:I98"/>
    <mergeCell ref="A112:I112"/>
    <mergeCell ref="A145:G145"/>
    <mergeCell ref="A134:G134"/>
    <mergeCell ref="A137:G137"/>
    <mergeCell ref="A150:G150"/>
  </mergeCells>
  <printOptions horizontalCentered="1"/>
  <pageMargins left="0" right="0" top="0.5" bottom="0.5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outlinePr summaryRight="0"/>
  </sheetPr>
  <dimension ref="A1:K2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6.7109375" style="1" customWidth="1"/>
    <col min="2" max="7" width="15.57421875" style="1" customWidth="1"/>
    <col min="8" max="16384" width="9.140625" style="1" customWidth="1"/>
  </cols>
  <sheetData>
    <row r="1" spans="1:11" ht="19.5" customHeight="1">
      <c r="A1" s="514" t="s">
        <v>466</v>
      </c>
      <c r="B1" s="514"/>
      <c r="C1" s="514"/>
      <c r="D1" s="514"/>
      <c r="E1" s="514"/>
      <c r="F1" s="514"/>
      <c r="G1" s="514"/>
      <c r="H1" s="36"/>
      <c r="I1" s="36"/>
      <c r="J1" s="36"/>
      <c r="K1" s="36"/>
    </row>
    <row r="2" spans="1:5" ht="12.75">
      <c r="A2" s="5" t="s">
        <v>451</v>
      </c>
      <c r="B2" s="5"/>
      <c r="C2" s="2"/>
      <c r="D2" s="2"/>
      <c r="E2" s="2"/>
    </row>
    <row r="3" spans="1:5" ht="6.75" customHeight="1" thickBot="1">
      <c r="A3" s="5"/>
      <c r="B3" s="5"/>
      <c r="C3" s="2"/>
      <c r="D3" s="2"/>
      <c r="E3" s="2"/>
    </row>
    <row r="4" spans="2:7" ht="13.5" thickBot="1">
      <c r="B4" s="458" t="s">
        <v>403</v>
      </c>
      <c r="C4" s="458"/>
      <c r="D4" s="458"/>
      <c r="E4" s="458"/>
      <c r="F4" s="458"/>
      <c r="G4" s="458"/>
    </row>
    <row r="5" spans="2:7" ht="13.5" thickBot="1">
      <c r="B5" s="66">
        <v>2003</v>
      </c>
      <c r="C5" s="66">
        <v>2004</v>
      </c>
      <c r="D5" s="66">
        <v>2005</v>
      </c>
      <c r="E5" s="66">
        <v>2006</v>
      </c>
      <c r="F5" s="66">
        <v>2007</v>
      </c>
      <c r="G5" s="66">
        <v>2008</v>
      </c>
    </row>
    <row r="6" spans="1:7" ht="19.5" customHeight="1" thickBot="1">
      <c r="A6" s="245" t="s">
        <v>172</v>
      </c>
      <c r="B6" s="261">
        <v>399.9</v>
      </c>
      <c r="C6" s="261">
        <v>411.5</v>
      </c>
      <c r="D6" s="261">
        <v>437.2</v>
      </c>
      <c r="E6" s="261">
        <v>461.5</v>
      </c>
      <c r="F6" s="261">
        <v>498.6</v>
      </c>
      <c r="G6" s="261">
        <v>582.2</v>
      </c>
    </row>
    <row r="7" spans="1:7" ht="19.5" customHeight="1">
      <c r="A7" s="238" t="s">
        <v>173</v>
      </c>
      <c r="B7" s="221">
        <v>14.2</v>
      </c>
      <c r="C7" s="221">
        <v>14.3</v>
      </c>
      <c r="D7" s="221">
        <v>14.7</v>
      </c>
      <c r="E7" s="221">
        <v>15.8</v>
      </c>
      <c r="F7" s="221">
        <v>16.1</v>
      </c>
      <c r="G7" s="221">
        <v>18.2</v>
      </c>
    </row>
    <row r="8" spans="1:7" ht="19.5" customHeight="1" thickBot="1">
      <c r="A8" s="239" t="s">
        <v>174</v>
      </c>
      <c r="B8" s="225">
        <v>10.3</v>
      </c>
      <c r="C8" s="225">
        <v>10.2</v>
      </c>
      <c r="D8" s="225">
        <v>10.2</v>
      </c>
      <c r="E8" s="225">
        <v>10.4</v>
      </c>
      <c r="F8" s="225">
        <v>10.5</v>
      </c>
      <c r="G8" s="225">
        <v>10.6</v>
      </c>
    </row>
    <row r="9" spans="1:7" ht="19.5" customHeight="1" thickBot="1">
      <c r="A9" s="244" t="s">
        <v>175</v>
      </c>
      <c r="B9" s="262">
        <f aca="true" t="shared" si="0" ref="B9:G9">SUM(B7:B8)</f>
        <v>24.5</v>
      </c>
      <c r="C9" s="262">
        <f t="shared" si="0"/>
        <v>24.5</v>
      </c>
      <c r="D9" s="262">
        <f t="shared" si="0"/>
        <v>24.9</v>
      </c>
      <c r="E9" s="262">
        <f t="shared" si="0"/>
        <v>26.200000000000003</v>
      </c>
      <c r="F9" s="262">
        <f t="shared" si="0"/>
        <v>26.6</v>
      </c>
      <c r="G9" s="262">
        <f t="shared" si="0"/>
        <v>28.799999999999997</v>
      </c>
    </row>
    <row r="10" spans="1:7" ht="19.5" customHeight="1">
      <c r="A10" s="238" t="s">
        <v>173</v>
      </c>
      <c r="B10" s="221">
        <v>35.8</v>
      </c>
      <c r="C10" s="221">
        <v>36.8</v>
      </c>
      <c r="D10" s="221">
        <v>39</v>
      </c>
      <c r="E10" s="221">
        <v>42.8</v>
      </c>
      <c r="F10" s="221">
        <v>45.5</v>
      </c>
      <c r="G10" s="221">
        <v>55.3</v>
      </c>
    </row>
    <row r="11" spans="1:7" ht="19.5" customHeight="1" thickBot="1">
      <c r="A11" s="239" t="s">
        <v>176</v>
      </c>
      <c r="B11" s="225">
        <v>44.2</v>
      </c>
      <c r="C11" s="225">
        <v>43.5</v>
      </c>
      <c r="D11" s="225">
        <v>61.9</v>
      </c>
      <c r="E11" s="225">
        <v>62.8</v>
      </c>
      <c r="F11" s="225">
        <v>54.7</v>
      </c>
      <c r="G11" s="225">
        <v>100.9</v>
      </c>
    </row>
    <row r="12" spans="1:7" ht="19.5" customHeight="1" thickBot="1">
      <c r="A12" s="244" t="s">
        <v>177</v>
      </c>
      <c r="B12" s="262">
        <f aca="true" t="shared" si="1" ref="B12:G12">SUM(B10:B11)</f>
        <v>80</v>
      </c>
      <c r="C12" s="262">
        <f t="shared" si="1"/>
        <v>80.3</v>
      </c>
      <c r="D12" s="262">
        <f t="shared" si="1"/>
        <v>100.9</v>
      </c>
      <c r="E12" s="262">
        <f t="shared" si="1"/>
        <v>105.6</v>
      </c>
      <c r="F12" s="262">
        <f t="shared" si="1"/>
        <v>100.2</v>
      </c>
      <c r="G12" s="262">
        <f t="shared" si="1"/>
        <v>156.2</v>
      </c>
    </row>
    <row r="13" spans="1:7" ht="19.5" customHeight="1">
      <c r="A13" s="238" t="s">
        <v>173</v>
      </c>
      <c r="B13" s="221">
        <v>18.4</v>
      </c>
      <c r="C13" s="221">
        <v>18.7</v>
      </c>
      <c r="D13" s="221">
        <v>19.3</v>
      </c>
      <c r="E13" s="221">
        <v>19.8</v>
      </c>
      <c r="F13" s="221">
        <v>20.4</v>
      </c>
      <c r="G13" s="221">
        <v>23.5</v>
      </c>
    </row>
    <row r="14" spans="1:7" ht="19.5" customHeight="1" thickBot="1">
      <c r="A14" s="239" t="s">
        <v>174</v>
      </c>
      <c r="B14" s="225">
        <v>18.7</v>
      </c>
      <c r="C14" s="225">
        <v>20.9</v>
      </c>
      <c r="D14" s="225">
        <v>18.5</v>
      </c>
      <c r="E14" s="225">
        <v>17.9</v>
      </c>
      <c r="F14" s="225">
        <v>18.4</v>
      </c>
      <c r="G14" s="225">
        <v>20.9</v>
      </c>
    </row>
    <row r="15" spans="1:7" ht="19.5" customHeight="1" thickBot="1">
      <c r="A15" s="244" t="s">
        <v>178</v>
      </c>
      <c r="B15" s="261">
        <f aca="true" t="shared" si="2" ref="B15:G15">SUM(B13:B14)</f>
        <v>37.099999999999994</v>
      </c>
      <c r="C15" s="261">
        <f t="shared" si="2"/>
        <v>39.599999999999994</v>
      </c>
      <c r="D15" s="261">
        <f t="shared" si="2"/>
        <v>37.8</v>
      </c>
      <c r="E15" s="261">
        <f t="shared" si="2"/>
        <v>37.7</v>
      </c>
      <c r="F15" s="261">
        <f t="shared" si="2"/>
        <v>38.8</v>
      </c>
      <c r="G15" s="261">
        <f t="shared" si="2"/>
        <v>44.4</v>
      </c>
    </row>
    <row r="16" spans="1:7" ht="19.5" customHeight="1" thickBot="1">
      <c r="A16" s="244" t="s">
        <v>179</v>
      </c>
      <c r="B16" s="261">
        <v>116.2</v>
      </c>
      <c r="C16" s="261">
        <v>110.5</v>
      </c>
      <c r="D16" s="261">
        <v>118.3</v>
      </c>
      <c r="E16" s="261">
        <v>127.9</v>
      </c>
      <c r="F16" s="261">
        <v>138</v>
      </c>
      <c r="G16" s="261">
        <v>193.7</v>
      </c>
    </row>
    <row r="17" spans="1:9" ht="19.5" customHeight="1" thickBot="1">
      <c r="A17" s="245" t="s">
        <v>389</v>
      </c>
      <c r="B17" s="261">
        <f aca="true" t="shared" si="3" ref="B17:G17">B6+B9+B12+B15+B16</f>
        <v>657.7</v>
      </c>
      <c r="C17" s="261">
        <f t="shared" si="3"/>
        <v>666.4</v>
      </c>
      <c r="D17" s="261">
        <f t="shared" si="3"/>
        <v>719.0999999999999</v>
      </c>
      <c r="E17" s="261">
        <f t="shared" si="3"/>
        <v>758.9</v>
      </c>
      <c r="F17" s="261">
        <f t="shared" si="3"/>
        <v>802.2</v>
      </c>
      <c r="G17" s="261">
        <f t="shared" si="3"/>
        <v>1005.3</v>
      </c>
      <c r="H17" s="263"/>
      <c r="I17" s="38"/>
    </row>
    <row r="19" spans="1:11" ht="18.75" customHeight="1">
      <c r="A19" s="514" t="s">
        <v>180</v>
      </c>
      <c r="B19" s="514"/>
      <c r="C19" s="514"/>
      <c r="D19" s="514"/>
      <c r="E19" s="514"/>
      <c r="F19" s="36"/>
      <c r="G19" s="36"/>
      <c r="H19" s="36"/>
      <c r="I19" s="36"/>
      <c r="J19" s="36"/>
      <c r="K19" s="36"/>
    </row>
    <row r="20" spans="1:5" ht="12.75">
      <c r="A20" s="5" t="s">
        <v>451</v>
      </c>
      <c r="B20" s="5"/>
      <c r="C20" s="2"/>
      <c r="D20" s="2"/>
      <c r="E20" s="2"/>
    </row>
    <row r="21" ht="6.75" customHeight="1" thickBot="1"/>
    <row r="22" spans="2:7" ht="13.5" thickBot="1">
      <c r="B22" s="458" t="s">
        <v>181</v>
      </c>
      <c r="C22" s="458"/>
      <c r="D22" s="458"/>
      <c r="E22" s="458"/>
      <c r="F22" s="458"/>
      <c r="G22" s="458"/>
    </row>
    <row r="23" spans="2:7" ht="13.5" thickBot="1">
      <c r="B23" s="66">
        <v>2003</v>
      </c>
      <c r="C23" s="66">
        <v>2004</v>
      </c>
      <c r="D23" s="66">
        <v>2005</v>
      </c>
      <c r="E23" s="66">
        <v>2006</v>
      </c>
      <c r="F23" s="66">
        <v>2007</v>
      </c>
      <c r="G23" s="66">
        <v>2008</v>
      </c>
    </row>
    <row r="24" spans="1:7" ht="19.5" customHeight="1">
      <c r="A24" s="238" t="s">
        <v>182</v>
      </c>
      <c r="B24" s="220">
        <v>2141</v>
      </c>
      <c r="C24" s="220">
        <v>2213</v>
      </c>
      <c r="D24" s="220">
        <v>2278</v>
      </c>
      <c r="E24" s="220">
        <v>2325</v>
      </c>
      <c r="F24" s="220">
        <v>2325</v>
      </c>
      <c r="G24" s="220">
        <v>2604</v>
      </c>
    </row>
    <row r="25" spans="1:7" ht="19.5" customHeight="1">
      <c r="A25" s="240" t="s">
        <v>183</v>
      </c>
      <c r="B25" s="222">
        <v>3094</v>
      </c>
      <c r="C25" s="222">
        <v>2153</v>
      </c>
      <c r="D25" s="222">
        <v>3221</v>
      </c>
      <c r="E25" s="222">
        <v>3292</v>
      </c>
      <c r="F25" s="222">
        <v>3312</v>
      </c>
      <c r="G25" s="222">
        <v>3797</v>
      </c>
    </row>
    <row r="26" spans="1:7" ht="19.5" customHeight="1">
      <c r="A26" s="240" t="s">
        <v>184</v>
      </c>
      <c r="B26" s="222">
        <v>3522</v>
      </c>
      <c r="C26" s="222">
        <v>3548</v>
      </c>
      <c r="D26" s="222">
        <v>3474</v>
      </c>
      <c r="E26" s="222">
        <v>3824</v>
      </c>
      <c r="F26" s="222">
        <v>3784</v>
      </c>
      <c r="G26" s="222">
        <v>4496</v>
      </c>
    </row>
    <row r="27" spans="1:7" ht="19.5" customHeight="1" thickBot="1">
      <c r="A27" s="239" t="s">
        <v>185</v>
      </c>
      <c r="B27" s="224">
        <v>300</v>
      </c>
      <c r="C27" s="224">
        <v>300</v>
      </c>
      <c r="D27" s="224">
        <v>300</v>
      </c>
      <c r="E27" s="224">
        <v>300</v>
      </c>
      <c r="F27" s="224">
        <v>300</v>
      </c>
      <c r="G27" s="224">
        <v>500</v>
      </c>
    </row>
    <row r="28" ht="12.75">
      <c r="A28" s="264" t="s">
        <v>186</v>
      </c>
    </row>
    <row r="29" ht="12.75">
      <c r="A29" s="264" t="s">
        <v>187</v>
      </c>
    </row>
  </sheetData>
  <sheetProtection/>
  <mergeCells count="4">
    <mergeCell ref="A19:E19"/>
    <mergeCell ref="B22:G22"/>
    <mergeCell ref="A1:G1"/>
    <mergeCell ref="B4:G4"/>
  </mergeCells>
  <printOptions horizontalCentered="1"/>
  <pageMargins left="0" right="0" top="0.5" bottom="0.5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S50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2.57421875" style="5" customWidth="1"/>
    <col min="2" max="2" width="6.421875" style="21" customWidth="1"/>
    <col min="3" max="3" width="17.00390625" style="56" customWidth="1"/>
    <col min="4" max="5" width="9.00390625" style="2" bestFit="1" customWidth="1"/>
    <col min="6" max="7" width="9.28125" style="2" bestFit="1" customWidth="1"/>
    <col min="8" max="8" width="9.8515625" style="2" bestFit="1" customWidth="1"/>
    <col min="9" max="10" width="9.28125" style="2" bestFit="1" customWidth="1"/>
    <col min="11" max="11" width="8.7109375" style="2" bestFit="1" customWidth="1"/>
    <col min="12" max="12" width="10.140625" style="2" bestFit="1" customWidth="1"/>
    <col min="13" max="13" width="9.57421875" style="2" bestFit="1" customWidth="1"/>
    <col min="14" max="14" width="9.00390625" style="2" bestFit="1" customWidth="1"/>
    <col min="15" max="16" width="9.28125" style="2" bestFit="1" customWidth="1"/>
    <col min="17" max="19" width="9.140625" style="2" customWidth="1"/>
    <col min="20" max="16384" width="9.140625" style="5" customWidth="1"/>
  </cols>
  <sheetData>
    <row r="1" spans="1:15" ht="19.5" customHeight="1">
      <c r="A1" s="514" t="s">
        <v>188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</row>
    <row r="2" ht="12.75">
      <c r="A2" s="14" t="s">
        <v>189</v>
      </c>
    </row>
    <row r="3" spans="1:19" ht="12.75">
      <c r="A3" s="5" t="s">
        <v>393</v>
      </c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ht="6.75" customHeight="1" thickBot="1"/>
    <row r="5" spans="4:16" ht="15" customHeight="1" thickBot="1">
      <c r="D5" s="458">
        <v>2008</v>
      </c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</row>
    <row r="6" spans="1:16" ht="48" thickBot="1">
      <c r="A6" s="11"/>
      <c r="B6" s="17"/>
      <c r="C6" s="275"/>
      <c r="D6" s="67" t="s">
        <v>304</v>
      </c>
      <c r="E6" s="67" t="s">
        <v>305</v>
      </c>
      <c r="F6" s="67" t="s">
        <v>306</v>
      </c>
      <c r="G6" s="67" t="s">
        <v>307</v>
      </c>
      <c r="H6" s="67" t="s">
        <v>308</v>
      </c>
      <c r="I6" s="67" t="s">
        <v>309</v>
      </c>
      <c r="J6" s="67" t="s">
        <v>310</v>
      </c>
      <c r="K6" s="67" t="s">
        <v>311</v>
      </c>
      <c r="L6" s="67" t="s">
        <v>312</v>
      </c>
      <c r="M6" s="67" t="s">
        <v>313</v>
      </c>
      <c r="N6" s="67" t="s">
        <v>314</v>
      </c>
      <c r="O6" s="67" t="s">
        <v>315</v>
      </c>
      <c r="P6" s="67" t="s">
        <v>389</v>
      </c>
    </row>
    <row r="7" spans="1:16" ht="19.5" customHeight="1">
      <c r="A7" s="551" t="s">
        <v>194</v>
      </c>
      <c r="B7" s="557" t="s">
        <v>190</v>
      </c>
      <c r="C7" s="270" t="s">
        <v>191</v>
      </c>
      <c r="D7" s="265">
        <v>1744209</v>
      </c>
      <c r="E7" s="265">
        <v>920367</v>
      </c>
      <c r="F7" s="265">
        <v>808529</v>
      </c>
      <c r="G7" s="265">
        <v>1252731</v>
      </c>
      <c r="H7" s="265">
        <v>4830305</v>
      </c>
      <c r="I7" s="265">
        <v>2247008</v>
      </c>
      <c r="J7" s="265">
        <v>2793111</v>
      </c>
      <c r="K7" s="265">
        <v>1368632</v>
      </c>
      <c r="L7" s="265">
        <v>8158649</v>
      </c>
      <c r="M7" s="265">
        <v>2612567</v>
      </c>
      <c r="N7" s="265">
        <v>2302239</v>
      </c>
      <c r="O7" s="265">
        <v>1049414</v>
      </c>
      <c r="P7" s="198">
        <f>SUM(D7:O7)</f>
        <v>30087761</v>
      </c>
    </row>
    <row r="8" spans="1:16" s="15" customFormat="1" ht="19.5" customHeight="1" thickBot="1">
      <c r="A8" s="552"/>
      <c r="B8" s="558"/>
      <c r="C8" s="277" t="s">
        <v>192</v>
      </c>
      <c r="D8" s="278">
        <v>738692</v>
      </c>
      <c r="E8" s="278">
        <v>319354</v>
      </c>
      <c r="F8" s="278">
        <v>222275</v>
      </c>
      <c r="G8" s="278">
        <v>359953</v>
      </c>
      <c r="H8" s="278">
        <v>2388953</v>
      </c>
      <c r="I8" s="278">
        <v>1141802</v>
      </c>
      <c r="J8" s="278">
        <v>1028901</v>
      </c>
      <c r="K8" s="278">
        <v>847322</v>
      </c>
      <c r="L8" s="279">
        <v>4939339</v>
      </c>
      <c r="M8" s="278">
        <v>1015276</v>
      </c>
      <c r="N8" s="278">
        <v>574038</v>
      </c>
      <c r="O8" s="278">
        <v>260404</v>
      </c>
      <c r="P8" s="280">
        <f>SUM(D8:O8)</f>
        <v>13836309</v>
      </c>
    </row>
    <row r="9" spans="1:16" s="15" customFormat="1" ht="19.5" customHeight="1" thickBot="1">
      <c r="A9" s="552"/>
      <c r="B9" s="559"/>
      <c r="C9" s="281" t="s">
        <v>193</v>
      </c>
      <c r="D9" s="282">
        <v>21</v>
      </c>
      <c r="E9" s="282">
        <v>20</v>
      </c>
      <c r="F9" s="282">
        <v>18</v>
      </c>
      <c r="G9" s="282">
        <v>20</v>
      </c>
      <c r="H9" s="282">
        <v>19</v>
      </c>
      <c r="I9" s="282">
        <v>21</v>
      </c>
      <c r="J9" s="282">
        <v>22</v>
      </c>
      <c r="K9" s="282">
        <v>20</v>
      </c>
      <c r="L9" s="283">
        <v>21</v>
      </c>
      <c r="M9" s="282">
        <v>21</v>
      </c>
      <c r="N9" s="282">
        <v>20</v>
      </c>
      <c r="O9" s="282">
        <v>17</v>
      </c>
      <c r="P9" s="415"/>
    </row>
    <row r="10" spans="1:16" s="9" customFormat="1" ht="11.25">
      <c r="A10" s="552"/>
      <c r="B10" s="560" t="s">
        <v>427</v>
      </c>
      <c r="C10" s="272" t="s">
        <v>1</v>
      </c>
      <c r="D10" s="273">
        <v>0</v>
      </c>
      <c r="E10" s="273">
        <v>0</v>
      </c>
      <c r="F10" s="273">
        <v>1400</v>
      </c>
      <c r="G10" s="273">
        <v>0</v>
      </c>
      <c r="H10" s="273">
        <v>10340</v>
      </c>
      <c r="I10" s="273">
        <v>0</v>
      </c>
      <c r="J10" s="273">
        <v>0</v>
      </c>
      <c r="K10" s="273">
        <v>0</v>
      </c>
      <c r="L10" s="265">
        <v>28796720</v>
      </c>
      <c r="M10" s="273">
        <v>7418107</v>
      </c>
      <c r="N10" s="273">
        <v>119451</v>
      </c>
      <c r="O10" s="273">
        <v>0</v>
      </c>
      <c r="P10" s="198">
        <f>SUM(D10:O10)</f>
        <v>36346018</v>
      </c>
    </row>
    <row r="11" spans="1:16" s="9" customFormat="1" ht="11.25">
      <c r="A11" s="552"/>
      <c r="B11" s="561"/>
      <c r="C11" s="274" t="s">
        <v>2</v>
      </c>
      <c r="D11" s="266">
        <v>12829</v>
      </c>
      <c r="E11" s="266">
        <v>1941</v>
      </c>
      <c r="F11" s="266">
        <v>41746</v>
      </c>
      <c r="G11" s="266">
        <v>70621</v>
      </c>
      <c r="H11" s="266">
        <v>32250</v>
      </c>
      <c r="I11" s="266">
        <v>124474</v>
      </c>
      <c r="J11" s="266">
        <v>10918</v>
      </c>
      <c r="K11" s="266">
        <v>266588</v>
      </c>
      <c r="L11" s="267">
        <v>146219</v>
      </c>
      <c r="M11" s="266">
        <v>718</v>
      </c>
      <c r="N11" s="266">
        <v>8951</v>
      </c>
      <c r="O11" s="266">
        <v>195654</v>
      </c>
      <c r="P11" s="203">
        <f>SUM(D11:O11)</f>
        <v>912909</v>
      </c>
    </row>
    <row r="12" spans="1:16" s="9" customFormat="1" ht="11.25">
      <c r="A12" s="552"/>
      <c r="B12" s="561"/>
      <c r="C12" s="274" t="s">
        <v>3</v>
      </c>
      <c r="D12" s="266">
        <v>45516</v>
      </c>
      <c r="E12" s="266">
        <v>26984</v>
      </c>
      <c r="F12" s="266">
        <v>136063</v>
      </c>
      <c r="G12" s="266">
        <v>117158</v>
      </c>
      <c r="H12" s="266">
        <v>130370</v>
      </c>
      <c r="I12" s="266">
        <v>152799</v>
      </c>
      <c r="J12" s="266">
        <v>44920</v>
      </c>
      <c r="K12" s="266">
        <v>228733</v>
      </c>
      <c r="L12" s="267">
        <v>84153</v>
      </c>
      <c r="M12" s="266">
        <v>151403</v>
      </c>
      <c r="N12" s="266">
        <v>39589</v>
      </c>
      <c r="O12" s="266">
        <v>22110</v>
      </c>
      <c r="P12" s="203">
        <f aca="true" t="shared" si="0" ref="P12:P21">SUM(D12:O12)</f>
        <v>1179798</v>
      </c>
    </row>
    <row r="13" spans="1:16" s="9" customFormat="1" ht="11.25">
      <c r="A13" s="552"/>
      <c r="B13" s="561"/>
      <c r="C13" s="274" t="s">
        <v>4</v>
      </c>
      <c r="D13" s="266">
        <v>10388</v>
      </c>
      <c r="E13" s="266">
        <v>2187</v>
      </c>
      <c r="F13" s="266">
        <v>0</v>
      </c>
      <c r="G13" s="266">
        <v>0</v>
      </c>
      <c r="H13" s="266">
        <v>27786</v>
      </c>
      <c r="I13" s="266">
        <v>3185</v>
      </c>
      <c r="J13" s="266">
        <v>22854</v>
      </c>
      <c r="K13" s="266">
        <v>1756</v>
      </c>
      <c r="L13" s="267">
        <v>60941</v>
      </c>
      <c r="M13" s="266">
        <v>13163</v>
      </c>
      <c r="N13" s="266">
        <v>4080</v>
      </c>
      <c r="O13" s="266">
        <v>10700</v>
      </c>
      <c r="P13" s="203">
        <f t="shared" si="0"/>
        <v>157040</v>
      </c>
    </row>
    <row r="14" spans="1:16" s="9" customFormat="1" ht="11.25">
      <c r="A14" s="552"/>
      <c r="B14" s="561"/>
      <c r="C14" s="274" t="s">
        <v>5</v>
      </c>
      <c r="D14" s="266">
        <v>4275</v>
      </c>
      <c r="E14" s="266">
        <v>554</v>
      </c>
      <c r="F14" s="266">
        <v>9370</v>
      </c>
      <c r="G14" s="266">
        <v>350</v>
      </c>
      <c r="H14" s="266">
        <v>8000</v>
      </c>
      <c r="I14" s="266">
        <v>8216</v>
      </c>
      <c r="J14" s="266">
        <v>3122</v>
      </c>
      <c r="K14" s="266">
        <v>2740</v>
      </c>
      <c r="L14" s="267">
        <v>7885</v>
      </c>
      <c r="M14" s="266">
        <v>440</v>
      </c>
      <c r="N14" s="266">
        <v>0</v>
      </c>
      <c r="O14" s="266">
        <v>3530</v>
      </c>
      <c r="P14" s="203">
        <f t="shared" si="0"/>
        <v>48482</v>
      </c>
    </row>
    <row r="15" spans="1:16" s="9" customFormat="1" ht="22.5">
      <c r="A15" s="552"/>
      <c r="B15" s="561"/>
      <c r="C15" s="274" t="s">
        <v>6</v>
      </c>
      <c r="D15" s="266">
        <v>260000</v>
      </c>
      <c r="E15" s="266">
        <v>221869</v>
      </c>
      <c r="F15" s="266">
        <v>37000</v>
      </c>
      <c r="G15" s="266">
        <v>253026</v>
      </c>
      <c r="H15" s="266">
        <v>65691</v>
      </c>
      <c r="I15" s="266">
        <v>7380</v>
      </c>
      <c r="J15" s="266">
        <v>33156</v>
      </c>
      <c r="K15" s="266">
        <v>91390</v>
      </c>
      <c r="L15" s="267">
        <v>70500</v>
      </c>
      <c r="M15" s="266">
        <v>313725</v>
      </c>
      <c r="N15" s="266">
        <v>272959</v>
      </c>
      <c r="O15" s="266">
        <v>9071</v>
      </c>
      <c r="P15" s="203">
        <f t="shared" si="0"/>
        <v>1635767</v>
      </c>
    </row>
    <row r="16" spans="1:16" s="9" customFormat="1" ht="22.5">
      <c r="A16" s="552"/>
      <c r="B16" s="561"/>
      <c r="C16" s="274" t="s">
        <v>7</v>
      </c>
      <c r="D16" s="266">
        <v>2500</v>
      </c>
      <c r="E16" s="266">
        <v>0</v>
      </c>
      <c r="F16" s="266">
        <v>0</v>
      </c>
      <c r="G16" s="266">
        <v>0</v>
      </c>
      <c r="H16" s="266">
        <v>4330</v>
      </c>
      <c r="I16" s="266">
        <v>15000</v>
      </c>
      <c r="J16" s="266">
        <v>415670</v>
      </c>
      <c r="K16" s="266">
        <v>0</v>
      </c>
      <c r="L16" s="267">
        <v>4000</v>
      </c>
      <c r="M16" s="266">
        <v>0</v>
      </c>
      <c r="N16" s="266">
        <v>176500</v>
      </c>
      <c r="O16" s="266">
        <v>0</v>
      </c>
      <c r="P16" s="203">
        <f t="shared" si="0"/>
        <v>618000</v>
      </c>
    </row>
    <row r="17" spans="1:16" s="9" customFormat="1" ht="22.5">
      <c r="A17" s="552"/>
      <c r="B17" s="561"/>
      <c r="C17" s="274" t="s">
        <v>8</v>
      </c>
      <c r="D17" s="266">
        <v>3100</v>
      </c>
      <c r="E17" s="266">
        <v>400</v>
      </c>
      <c r="F17" s="266">
        <v>2000</v>
      </c>
      <c r="G17" s="266">
        <v>20800</v>
      </c>
      <c r="H17" s="266">
        <v>13000</v>
      </c>
      <c r="I17" s="266">
        <v>7660</v>
      </c>
      <c r="J17" s="266">
        <v>13810</v>
      </c>
      <c r="K17" s="266">
        <v>21315</v>
      </c>
      <c r="L17" s="267">
        <v>6250</v>
      </c>
      <c r="M17" s="266">
        <v>16324</v>
      </c>
      <c r="N17" s="266">
        <v>54000</v>
      </c>
      <c r="O17" s="266">
        <v>6798</v>
      </c>
      <c r="P17" s="203">
        <f t="shared" si="0"/>
        <v>165457</v>
      </c>
    </row>
    <row r="18" spans="1:16" s="9" customFormat="1" ht="22.5">
      <c r="A18" s="552"/>
      <c r="B18" s="561"/>
      <c r="C18" s="274" t="s">
        <v>9</v>
      </c>
      <c r="D18" s="266">
        <v>0</v>
      </c>
      <c r="E18" s="266">
        <v>19200</v>
      </c>
      <c r="F18" s="266">
        <v>800</v>
      </c>
      <c r="G18" s="266">
        <v>10800</v>
      </c>
      <c r="H18" s="266">
        <v>12000</v>
      </c>
      <c r="I18" s="266">
        <v>24700</v>
      </c>
      <c r="J18" s="266">
        <v>0</v>
      </c>
      <c r="K18" s="266">
        <v>6500</v>
      </c>
      <c r="L18" s="267">
        <v>11400</v>
      </c>
      <c r="M18" s="266">
        <v>6000</v>
      </c>
      <c r="N18" s="266">
        <v>0</v>
      </c>
      <c r="O18" s="266">
        <v>4800</v>
      </c>
      <c r="P18" s="203">
        <f t="shared" si="0"/>
        <v>96200</v>
      </c>
    </row>
    <row r="19" spans="1:16" s="9" customFormat="1" ht="11.25">
      <c r="A19" s="552"/>
      <c r="B19" s="561"/>
      <c r="C19" s="274" t="s">
        <v>10</v>
      </c>
      <c r="D19" s="266">
        <v>895098</v>
      </c>
      <c r="E19" s="266">
        <v>560876</v>
      </c>
      <c r="F19" s="266">
        <v>650675</v>
      </c>
      <c r="G19" s="266">
        <v>733941</v>
      </c>
      <c r="H19" s="266">
        <v>2530021</v>
      </c>
      <c r="I19" s="266">
        <v>775720</v>
      </c>
      <c r="J19" s="266">
        <v>549214</v>
      </c>
      <c r="K19" s="266">
        <v>535573</v>
      </c>
      <c r="L19" s="267">
        <v>267046</v>
      </c>
      <c r="M19" s="266">
        <v>1125864</v>
      </c>
      <c r="N19" s="266">
        <v>328720</v>
      </c>
      <c r="O19" s="266">
        <v>1012140</v>
      </c>
      <c r="P19" s="203">
        <f t="shared" si="0"/>
        <v>9964888</v>
      </c>
    </row>
    <row r="20" spans="1:16" s="9" customFormat="1" ht="11.25">
      <c r="A20" s="552"/>
      <c r="B20" s="561"/>
      <c r="C20" s="274" t="s">
        <v>11</v>
      </c>
      <c r="D20" s="266">
        <v>320</v>
      </c>
      <c r="E20" s="266">
        <v>311</v>
      </c>
      <c r="F20" s="266">
        <v>1029</v>
      </c>
      <c r="G20" s="266">
        <v>80</v>
      </c>
      <c r="H20" s="266">
        <v>3510</v>
      </c>
      <c r="I20" s="266">
        <v>9041</v>
      </c>
      <c r="J20" s="266">
        <v>5472</v>
      </c>
      <c r="K20" s="266">
        <v>4541</v>
      </c>
      <c r="L20" s="267">
        <v>1264</v>
      </c>
      <c r="M20" s="266">
        <v>150</v>
      </c>
      <c r="N20" s="266">
        <v>450</v>
      </c>
      <c r="O20" s="266">
        <v>0</v>
      </c>
      <c r="P20" s="203">
        <f t="shared" si="0"/>
        <v>26168</v>
      </c>
    </row>
    <row r="21" spans="1:16" s="9" customFormat="1" ht="11.25">
      <c r="A21" s="552"/>
      <c r="B21" s="561"/>
      <c r="C21" s="274" t="s">
        <v>296</v>
      </c>
      <c r="D21" s="266">
        <v>0</v>
      </c>
      <c r="E21" s="266">
        <v>0</v>
      </c>
      <c r="F21" s="266">
        <v>0</v>
      </c>
      <c r="G21" s="266">
        <v>0</v>
      </c>
      <c r="H21" s="266">
        <v>0</v>
      </c>
      <c r="I21" s="266">
        <v>0</v>
      </c>
      <c r="J21" s="266">
        <v>0</v>
      </c>
      <c r="K21" s="266">
        <v>0</v>
      </c>
      <c r="L21" s="267">
        <v>0</v>
      </c>
      <c r="M21" s="266">
        <v>3600</v>
      </c>
      <c r="N21" s="266">
        <v>1000</v>
      </c>
      <c r="O21" s="266">
        <v>1750</v>
      </c>
      <c r="P21" s="203">
        <f t="shared" si="0"/>
        <v>6350</v>
      </c>
    </row>
    <row r="22" spans="1:16" s="9" customFormat="1" ht="11.25">
      <c r="A22" s="552"/>
      <c r="B22" s="561"/>
      <c r="C22" s="274" t="s">
        <v>12</v>
      </c>
      <c r="D22" s="266">
        <v>385690</v>
      </c>
      <c r="E22" s="266">
        <v>196224</v>
      </c>
      <c r="F22" s="266">
        <v>401751</v>
      </c>
      <c r="G22" s="266">
        <v>226734</v>
      </c>
      <c r="H22" s="266">
        <v>1786416</v>
      </c>
      <c r="I22" s="266">
        <v>558683</v>
      </c>
      <c r="J22" s="266">
        <v>363152</v>
      </c>
      <c r="K22" s="266">
        <v>163811</v>
      </c>
      <c r="L22" s="267">
        <v>185064</v>
      </c>
      <c r="M22" s="266">
        <v>1146903</v>
      </c>
      <c r="N22" s="266">
        <v>167648</v>
      </c>
      <c r="O22" s="266">
        <v>178301</v>
      </c>
      <c r="P22" s="203">
        <f aca="true" t="shared" si="1" ref="P22:P29">SUM(D22:O22)</f>
        <v>5760377</v>
      </c>
    </row>
    <row r="23" spans="1:16" s="9" customFormat="1" ht="22.5">
      <c r="A23" s="552"/>
      <c r="B23" s="561"/>
      <c r="C23" s="274" t="s">
        <v>13</v>
      </c>
      <c r="D23" s="266">
        <v>30364</v>
      </c>
      <c r="E23" s="266">
        <v>0</v>
      </c>
      <c r="F23" s="266">
        <v>0</v>
      </c>
      <c r="G23" s="266">
        <v>2020</v>
      </c>
      <c r="H23" s="266">
        <v>0</v>
      </c>
      <c r="I23" s="266">
        <v>18990</v>
      </c>
      <c r="J23" s="266">
        <v>259934</v>
      </c>
      <c r="K23" s="266">
        <v>8500</v>
      </c>
      <c r="L23" s="267">
        <v>88997</v>
      </c>
      <c r="M23" s="266">
        <v>11151</v>
      </c>
      <c r="N23" s="266">
        <v>3000</v>
      </c>
      <c r="O23" s="266">
        <v>5801</v>
      </c>
      <c r="P23" s="203">
        <f t="shared" si="1"/>
        <v>428757</v>
      </c>
    </row>
    <row r="24" spans="1:16" s="9" customFormat="1" ht="11.25">
      <c r="A24" s="552"/>
      <c r="B24" s="561"/>
      <c r="C24" s="274" t="s">
        <v>14</v>
      </c>
      <c r="D24" s="266">
        <v>26700</v>
      </c>
      <c r="E24" s="266">
        <v>1000</v>
      </c>
      <c r="F24" s="266">
        <v>0</v>
      </c>
      <c r="G24" s="266">
        <v>2850</v>
      </c>
      <c r="H24" s="266">
        <v>0</v>
      </c>
      <c r="I24" s="266">
        <v>0</v>
      </c>
      <c r="J24" s="266">
        <v>1500</v>
      </c>
      <c r="K24" s="266">
        <v>0</v>
      </c>
      <c r="L24" s="267">
        <v>1000</v>
      </c>
      <c r="M24" s="266">
        <v>0</v>
      </c>
      <c r="N24" s="266">
        <v>0</v>
      </c>
      <c r="O24" s="266">
        <v>0</v>
      </c>
      <c r="P24" s="203">
        <f t="shared" si="1"/>
        <v>33050</v>
      </c>
    </row>
    <row r="25" spans="1:16" s="9" customFormat="1" ht="11.25">
      <c r="A25" s="552"/>
      <c r="B25" s="561"/>
      <c r="C25" s="274" t="s">
        <v>15</v>
      </c>
      <c r="D25" s="266">
        <v>65065</v>
      </c>
      <c r="E25" s="266">
        <v>44345</v>
      </c>
      <c r="F25" s="266">
        <v>27901</v>
      </c>
      <c r="G25" s="266">
        <v>86747</v>
      </c>
      <c r="H25" s="266">
        <v>184667</v>
      </c>
      <c r="I25" s="266">
        <v>99337</v>
      </c>
      <c r="J25" s="266">
        <v>83471</v>
      </c>
      <c r="K25" s="266">
        <v>46252</v>
      </c>
      <c r="L25" s="267">
        <v>96598</v>
      </c>
      <c r="M25" s="266">
        <v>91779</v>
      </c>
      <c r="N25" s="266">
        <v>21296</v>
      </c>
      <c r="O25" s="266">
        <v>36776</v>
      </c>
      <c r="P25" s="203">
        <f t="shared" si="1"/>
        <v>884234</v>
      </c>
    </row>
    <row r="26" spans="1:16" s="9" customFormat="1" ht="22.5">
      <c r="A26" s="552"/>
      <c r="B26" s="561"/>
      <c r="C26" s="274" t="s">
        <v>16</v>
      </c>
      <c r="D26" s="266">
        <v>7300</v>
      </c>
      <c r="E26" s="266">
        <v>43641</v>
      </c>
      <c r="F26" s="266">
        <v>35167</v>
      </c>
      <c r="G26" s="266">
        <v>42502</v>
      </c>
      <c r="H26" s="266">
        <v>4166</v>
      </c>
      <c r="I26" s="266">
        <v>1000</v>
      </c>
      <c r="J26" s="266">
        <v>22717</v>
      </c>
      <c r="K26" s="266">
        <v>23830</v>
      </c>
      <c r="L26" s="267">
        <v>32058</v>
      </c>
      <c r="M26" s="266">
        <v>48934</v>
      </c>
      <c r="N26" s="266">
        <v>50</v>
      </c>
      <c r="O26" s="266">
        <v>6650</v>
      </c>
      <c r="P26" s="203">
        <f t="shared" si="1"/>
        <v>268015</v>
      </c>
    </row>
    <row r="27" spans="1:16" s="9" customFormat="1" ht="22.5">
      <c r="A27" s="552"/>
      <c r="B27" s="561"/>
      <c r="C27" s="274" t="s">
        <v>17</v>
      </c>
      <c r="D27" s="266">
        <v>1200</v>
      </c>
      <c r="E27" s="266">
        <v>0</v>
      </c>
      <c r="F27" s="266">
        <v>0</v>
      </c>
      <c r="G27" s="266">
        <v>0</v>
      </c>
      <c r="H27" s="266">
        <v>0</v>
      </c>
      <c r="I27" s="266">
        <v>0</v>
      </c>
      <c r="J27" s="266">
        <v>0</v>
      </c>
      <c r="K27" s="266">
        <v>0</v>
      </c>
      <c r="L27" s="267">
        <v>0</v>
      </c>
      <c r="M27" s="266">
        <v>0</v>
      </c>
      <c r="N27" s="266">
        <v>0</v>
      </c>
      <c r="O27" s="266">
        <v>0</v>
      </c>
      <c r="P27" s="203">
        <f t="shared" si="1"/>
        <v>1200</v>
      </c>
    </row>
    <row r="28" spans="1:16" s="9" customFormat="1" ht="22.5">
      <c r="A28" s="552"/>
      <c r="B28" s="561"/>
      <c r="C28" s="274" t="s">
        <v>18</v>
      </c>
      <c r="D28" s="266">
        <v>0</v>
      </c>
      <c r="E28" s="266">
        <v>0</v>
      </c>
      <c r="F28" s="266">
        <v>16335</v>
      </c>
      <c r="G28" s="266">
        <v>5500</v>
      </c>
      <c r="H28" s="266">
        <v>11819</v>
      </c>
      <c r="I28" s="266">
        <v>5110</v>
      </c>
      <c r="J28" s="266">
        <v>2658</v>
      </c>
      <c r="K28" s="266">
        <v>16195</v>
      </c>
      <c r="L28" s="267">
        <v>817</v>
      </c>
      <c r="M28" s="266">
        <v>0</v>
      </c>
      <c r="N28" s="266">
        <v>0</v>
      </c>
      <c r="O28" s="266">
        <v>53</v>
      </c>
      <c r="P28" s="203">
        <f t="shared" si="1"/>
        <v>58487</v>
      </c>
    </row>
    <row r="29" spans="1:16" s="9" customFormat="1" ht="23.25" thickBot="1">
      <c r="A29" s="552"/>
      <c r="B29" s="561"/>
      <c r="C29" s="284" t="s">
        <v>19</v>
      </c>
      <c r="D29" s="278">
        <v>0</v>
      </c>
      <c r="E29" s="278">
        <v>0</v>
      </c>
      <c r="F29" s="278">
        <v>0</v>
      </c>
      <c r="G29" s="278">
        <v>708</v>
      </c>
      <c r="H29" s="278">
        <v>543</v>
      </c>
      <c r="I29" s="278">
        <v>1873</v>
      </c>
      <c r="J29" s="278">
        <v>1666</v>
      </c>
      <c r="K29" s="278">
        <v>17855</v>
      </c>
      <c r="L29" s="279">
        <v>500</v>
      </c>
      <c r="M29" s="278">
        <v>0</v>
      </c>
      <c r="N29" s="278">
        <v>208</v>
      </c>
      <c r="O29" s="278">
        <v>0</v>
      </c>
      <c r="P29" s="280">
        <f t="shared" si="1"/>
        <v>23353</v>
      </c>
    </row>
    <row r="30" spans="1:16" s="9" customFormat="1" ht="12" thickBot="1">
      <c r="A30" s="553"/>
      <c r="B30" s="562"/>
      <c r="C30" s="281" t="s">
        <v>193</v>
      </c>
      <c r="D30" s="282">
        <v>19</v>
      </c>
      <c r="E30" s="282">
        <v>18</v>
      </c>
      <c r="F30" s="282">
        <v>15</v>
      </c>
      <c r="G30" s="282">
        <v>20</v>
      </c>
      <c r="H30" s="282">
        <v>19</v>
      </c>
      <c r="I30" s="282">
        <v>21</v>
      </c>
      <c r="J30" s="282">
        <v>22</v>
      </c>
      <c r="K30" s="282">
        <v>19</v>
      </c>
      <c r="L30" s="283">
        <v>20</v>
      </c>
      <c r="M30" s="282">
        <v>21</v>
      </c>
      <c r="N30" s="282">
        <v>20</v>
      </c>
      <c r="O30" s="282">
        <v>15</v>
      </c>
      <c r="P30" s="415"/>
    </row>
    <row r="31" spans="1:16" s="9" customFormat="1" ht="11.25">
      <c r="A31" s="288"/>
      <c r="B31" s="289"/>
      <c r="C31" s="290"/>
      <c r="D31" s="291"/>
      <c r="E31" s="291"/>
      <c r="F31" s="291"/>
      <c r="G31" s="291"/>
      <c r="H31" s="291"/>
      <c r="I31" s="291"/>
      <c r="J31" s="291"/>
      <c r="K31" s="291"/>
      <c r="L31" s="292"/>
      <c r="M31" s="291"/>
      <c r="N31" s="291"/>
      <c r="O31" s="291"/>
      <c r="P31" s="416"/>
    </row>
    <row r="32" spans="1:19" s="11" customFormat="1" ht="19.5" customHeight="1">
      <c r="A32" s="550" t="s">
        <v>202</v>
      </c>
      <c r="B32" s="550"/>
      <c r="C32" s="550"/>
      <c r="D32" s="550"/>
      <c r="E32" s="550"/>
      <c r="F32" s="550"/>
      <c r="G32" s="550"/>
      <c r="H32" s="550"/>
      <c r="I32" s="550"/>
      <c r="J32" s="550"/>
      <c r="K32" s="550"/>
      <c r="L32" s="550"/>
      <c r="M32" s="550"/>
      <c r="N32" s="550"/>
      <c r="O32" s="550"/>
      <c r="P32" s="293"/>
      <c r="Q32" s="293"/>
      <c r="R32" s="293"/>
      <c r="S32" s="293"/>
    </row>
    <row r="33" ht="12.75">
      <c r="A33" s="14" t="s">
        <v>189</v>
      </c>
    </row>
    <row r="34" spans="1:19" ht="12.75">
      <c r="A34" s="5" t="s">
        <v>393</v>
      </c>
      <c r="B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ht="6.75" customHeight="1" thickBot="1"/>
    <row r="36" spans="4:16" ht="15" customHeight="1" thickBot="1">
      <c r="D36" s="458">
        <v>2008</v>
      </c>
      <c r="E36" s="458"/>
      <c r="F36" s="458"/>
      <c r="G36" s="458"/>
      <c r="H36" s="458"/>
      <c r="I36" s="458"/>
      <c r="J36" s="458"/>
      <c r="K36" s="458"/>
      <c r="L36" s="458"/>
      <c r="M36" s="458"/>
      <c r="N36" s="458"/>
      <c r="O36" s="458"/>
      <c r="P36" s="458"/>
    </row>
    <row r="37" spans="1:16" ht="48" thickBot="1">
      <c r="A37" s="11"/>
      <c r="B37" s="17"/>
      <c r="C37" s="275"/>
      <c r="D37" s="67" t="s">
        <v>304</v>
      </c>
      <c r="E37" s="67" t="s">
        <v>305</v>
      </c>
      <c r="F37" s="67" t="s">
        <v>306</v>
      </c>
      <c r="G37" s="67" t="s">
        <v>307</v>
      </c>
      <c r="H37" s="67" t="s">
        <v>308</v>
      </c>
      <c r="I37" s="67" t="s">
        <v>309</v>
      </c>
      <c r="J37" s="67" t="s">
        <v>310</v>
      </c>
      <c r="K37" s="67" t="s">
        <v>311</v>
      </c>
      <c r="L37" s="67" t="s">
        <v>312</v>
      </c>
      <c r="M37" s="67" t="s">
        <v>313</v>
      </c>
      <c r="N37" s="67" t="s">
        <v>314</v>
      </c>
      <c r="O37" s="67" t="s">
        <v>315</v>
      </c>
      <c r="P37" s="67" t="s">
        <v>389</v>
      </c>
    </row>
    <row r="38" spans="1:16" s="9" customFormat="1" ht="22.5">
      <c r="A38" s="551" t="s">
        <v>194</v>
      </c>
      <c r="B38" s="557" t="s">
        <v>195</v>
      </c>
      <c r="C38" s="270" t="s">
        <v>20</v>
      </c>
      <c r="D38" s="273">
        <v>0</v>
      </c>
      <c r="E38" s="273">
        <v>0</v>
      </c>
      <c r="F38" s="273">
        <v>4000</v>
      </c>
      <c r="G38" s="273">
        <v>734298</v>
      </c>
      <c r="H38" s="273">
        <v>0</v>
      </c>
      <c r="I38" s="273">
        <v>0</v>
      </c>
      <c r="J38" s="273">
        <v>3010</v>
      </c>
      <c r="K38" s="273">
        <v>533761</v>
      </c>
      <c r="L38" s="265">
        <v>401244</v>
      </c>
      <c r="M38" s="273">
        <v>252090</v>
      </c>
      <c r="N38" s="273">
        <v>5460</v>
      </c>
      <c r="O38" s="273">
        <v>255937</v>
      </c>
      <c r="P38" s="198">
        <f>SUM(D38:O38)</f>
        <v>2189800</v>
      </c>
    </row>
    <row r="39" spans="1:16" s="9" customFormat="1" ht="24" customHeight="1">
      <c r="A39" s="552"/>
      <c r="B39" s="558"/>
      <c r="C39" s="271" t="s">
        <v>288</v>
      </c>
      <c r="D39" s="266">
        <v>32582</v>
      </c>
      <c r="E39" s="266">
        <v>15881</v>
      </c>
      <c r="F39" s="266">
        <v>16146</v>
      </c>
      <c r="G39" s="266">
        <v>30338</v>
      </c>
      <c r="H39" s="266">
        <v>74718</v>
      </c>
      <c r="I39" s="266">
        <v>42626</v>
      </c>
      <c r="J39" s="266">
        <v>21123</v>
      </c>
      <c r="K39" s="266">
        <v>3166</v>
      </c>
      <c r="L39" s="267">
        <v>7681</v>
      </c>
      <c r="M39" s="266">
        <v>6383</v>
      </c>
      <c r="N39" s="266">
        <v>17135</v>
      </c>
      <c r="O39" s="266">
        <v>8006</v>
      </c>
      <c r="P39" s="203">
        <f aca="true" t="shared" si="2" ref="P39:P50">SUM(D39:O39)</f>
        <v>275785</v>
      </c>
    </row>
    <row r="40" spans="1:16" s="9" customFormat="1" ht="11.25">
      <c r="A40" s="552"/>
      <c r="B40" s="558"/>
      <c r="C40" s="271" t="s">
        <v>196</v>
      </c>
      <c r="D40" s="266">
        <v>0</v>
      </c>
      <c r="E40" s="266">
        <v>3000</v>
      </c>
      <c r="F40" s="266">
        <v>0</v>
      </c>
      <c r="G40" s="266">
        <v>0</v>
      </c>
      <c r="H40" s="266">
        <v>132900</v>
      </c>
      <c r="I40" s="266">
        <v>12000</v>
      </c>
      <c r="J40" s="266">
        <v>3000</v>
      </c>
      <c r="K40" s="266">
        <v>0</v>
      </c>
      <c r="L40" s="266">
        <v>500</v>
      </c>
      <c r="M40" s="266">
        <v>17420</v>
      </c>
      <c r="N40" s="266">
        <v>0</v>
      </c>
      <c r="O40" s="266">
        <v>37008</v>
      </c>
      <c r="P40" s="203">
        <f t="shared" si="2"/>
        <v>205828</v>
      </c>
    </row>
    <row r="41" spans="1:16" s="9" customFormat="1" ht="24" customHeight="1">
      <c r="A41" s="552"/>
      <c r="B41" s="558"/>
      <c r="C41" s="271" t="s">
        <v>197</v>
      </c>
      <c r="D41" s="266">
        <v>0</v>
      </c>
      <c r="E41" s="266">
        <v>0</v>
      </c>
      <c r="F41" s="266">
        <v>0</v>
      </c>
      <c r="G41" s="266">
        <v>0</v>
      </c>
      <c r="H41" s="266">
        <v>0</v>
      </c>
      <c r="I41" s="266">
        <v>5000</v>
      </c>
      <c r="J41" s="266">
        <v>0</v>
      </c>
      <c r="K41" s="266">
        <v>0</v>
      </c>
      <c r="L41" s="266">
        <v>0</v>
      </c>
      <c r="M41" s="266">
        <v>0</v>
      </c>
      <c r="N41" s="266">
        <v>0</v>
      </c>
      <c r="O41" s="266">
        <v>0</v>
      </c>
      <c r="P41" s="203">
        <f t="shared" si="2"/>
        <v>5000</v>
      </c>
    </row>
    <row r="42" spans="1:16" s="9" customFormat="1" ht="24" customHeight="1">
      <c r="A42" s="552"/>
      <c r="B42" s="558"/>
      <c r="C42" s="271" t="s">
        <v>198</v>
      </c>
      <c r="D42" s="266">
        <v>0</v>
      </c>
      <c r="E42" s="266">
        <v>0</v>
      </c>
      <c r="F42" s="266">
        <v>0</v>
      </c>
      <c r="G42" s="266">
        <v>0</v>
      </c>
      <c r="H42" s="266">
        <v>0</v>
      </c>
      <c r="I42" s="266">
        <v>0</v>
      </c>
      <c r="J42" s="266">
        <v>0</v>
      </c>
      <c r="K42" s="266">
        <v>0</v>
      </c>
      <c r="L42" s="266">
        <v>0</v>
      </c>
      <c r="M42" s="266">
        <v>0</v>
      </c>
      <c r="N42" s="266">
        <v>0</v>
      </c>
      <c r="O42" s="266">
        <v>234000</v>
      </c>
      <c r="P42" s="203">
        <f t="shared" si="2"/>
        <v>234000</v>
      </c>
    </row>
    <row r="43" spans="1:16" s="9" customFormat="1" ht="23.25" thickBot="1">
      <c r="A43" s="552"/>
      <c r="B43" s="558"/>
      <c r="C43" s="277" t="s">
        <v>199</v>
      </c>
      <c r="D43" s="278">
        <v>0</v>
      </c>
      <c r="E43" s="278">
        <v>0</v>
      </c>
      <c r="F43" s="278">
        <v>0</v>
      </c>
      <c r="G43" s="278">
        <v>0</v>
      </c>
      <c r="H43" s="278">
        <v>0</v>
      </c>
      <c r="I43" s="278">
        <v>0</v>
      </c>
      <c r="J43" s="278">
        <v>0</v>
      </c>
      <c r="K43" s="278">
        <v>0</v>
      </c>
      <c r="L43" s="278">
        <v>0</v>
      </c>
      <c r="M43" s="278">
        <v>0</v>
      </c>
      <c r="N43" s="278">
        <v>0</v>
      </c>
      <c r="O43" s="278">
        <v>0</v>
      </c>
      <c r="P43" s="280">
        <f t="shared" si="2"/>
        <v>0</v>
      </c>
    </row>
    <row r="44" spans="1:16" s="9" customFormat="1" ht="12" thickBot="1">
      <c r="A44" s="552"/>
      <c r="B44" s="559"/>
      <c r="C44" s="285" t="s">
        <v>193</v>
      </c>
      <c r="D44" s="282">
        <v>15</v>
      </c>
      <c r="E44" s="282">
        <v>10</v>
      </c>
      <c r="F44" s="282">
        <v>12</v>
      </c>
      <c r="G44" s="282">
        <v>15</v>
      </c>
      <c r="H44" s="282">
        <v>13</v>
      </c>
      <c r="I44" s="282">
        <v>17</v>
      </c>
      <c r="J44" s="282">
        <v>12</v>
      </c>
      <c r="K44" s="282">
        <v>3</v>
      </c>
      <c r="L44" s="282">
        <v>12</v>
      </c>
      <c r="M44" s="282">
        <v>9</v>
      </c>
      <c r="N44" s="282">
        <v>24</v>
      </c>
      <c r="O44" s="282">
        <v>3</v>
      </c>
      <c r="P44" s="415"/>
    </row>
    <row r="45" spans="1:16" s="9" customFormat="1" ht="11.25">
      <c r="A45" s="552"/>
      <c r="B45" s="557" t="s">
        <v>200</v>
      </c>
      <c r="C45" s="270" t="s">
        <v>289</v>
      </c>
      <c r="D45" s="273">
        <v>425</v>
      </c>
      <c r="E45" s="273">
        <v>2154</v>
      </c>
      <c r="F45" s="273">
        <v>3533</v>
      </c>
      <c r="G45" s="273">
        <v>390</v>
      </c>
      <c r="H45" s="273">
        <v>68</v>
      </c>
      <c r="I45" s="273">
        <v>0</v>
      </c>
      <c r="J45" s="273">
        <v>500</v>
      </c>
      <c r="K45" s="273">
        <v>0</v>
      </c>
      <c r="L45" s="273">
        <v>0</v>
      </c>
      <c r="M45" s="273">
        <v>0</v>
      </c>
      <c r="N45" s="273">
        <v>0</v>
      </c>
      <c r="O45" s="273">
        <v>0</v>
      </c>
      <c r="P45" s="199">
        <f t="shared" si="2"/>
        <v>7070</v>
      </c>
    </row>
    <row r="46" spans="1:16" s="9" customFormat="1" ht="11.25">
      <c r="A46" s="552"/>
      <c r="B46" s="558"/>
      <c r="C46" s="271" t="s">
        <v>292</v>
      </c>
      <c r="D46" s="266">
        <v>1930</v>
      </c>
      <c r="E46" s="266">
        <v>9700</v>
      </c>
      <c r="F46" s="266">
        <v>8098</v>
      </c>
      <c r="G46" s="266">
        <v>1630</v>
      </c>
      <c r="H46" s="266">
        <v>300</v>
      </c>
      <c r="I46" s="266">
        <v>1960</v>
      </c>
      <c r="J46" s="266">
        <v>1430</v>
      </c>
      <c r="K46" s="266">
        <v>4390</v>
      </c>
      <c r="L46" s="266">
        <v>0</v>
      </c>
      <c r="M46" s="266">
        <v>0</v>
      </c>
      <c r="N46" s="266">
        <v>250</v>
      </c>
      <c r="O46" s="266">
        <v>0</v>
      </c>
      <c r="P46" s="203">
        <f t="shared" si="2"/>
        <v>29688</v>
      </c>
    </row>
    <row r="47" spans="1:16" s="9" customFormat="1" ht="11.25">
      <c r="A47" s="552"/>
      <c r="B47" s="558"/>
      <c r="C47" s="271" t="s">
        <v>290</v>
      </c>
      <c r="D47" s="266">
        <v>0</v>
      </c>
      <c r="E47" s="266">
        <v>1802</v>
      </c>
      <c r="F47" s="266">
        <v>200</v>
      </c>
      <c r="G47" s="266">
        <v>88</v>
      </c>
      <c r="H47" s="266">
        <v>200</v>
      </c>
      <c r="I47" s="266">
        <v>0</v>
      </c>
      <c r="J47" s="266">
        <v>66</v>
      </c>
      <c r="K47" s="266">
        <v>5181</v>
      </c>
      <c r="L47" s="266">
        <v>4475</v>
      </c>
      <c r="M47" s="266">
        <v>0</v>
      </c>
      <c r="N47" s="266">
        <v>10</v>
      </c>
      <c r="O47" s="266">
        <v>0</v>
      </c>
      <c r="P47" s="203">
        <f t="shared" si="2"/>
        <v>12022</v>
      </c>
    </row>
    <row r="48" spans="1:16" s="9" customFormat="1" ht="12" thickBot="1">
      <c r="A48" s="552"/>
      <c r="B48" s="558"/>
      <c r="C48" s="269" t="s">
        <v>291</v>
      </c>
      <c r="D48" s="268">
        <v>4000</v>
      </c>
      <c r="E48" s="268">
        <v>6211</v>
      </c>
      <c r="F48" s="268">
        <v>3804</v>
      </c>
      <c r="G48" s="268">
        <v>70</v>
      </c>
      <c r="H48" s="268">
        <v>2000</v>
      </c>
      <c r="I48" s="268">
        <v>183</v>
      </c>
      <c r="J48" s="268">
        <v>625</v>
      </c>
      <c r="K48" s="268">
        <v>114</v>
      </c>
      <c r="L48" s="268">
        <v>1525</v>
      </c>
      <c r="M48" s="268">
        <v>0</v>
      </c>
      <c r="N48" s="268">
        <v>1483</v>
      </c>
      <c r="O48" s="268">
        <v>20</v>
      </c>
      <c r="P48" s="205">
        <f t="shared" si="2"/>
        <v>20035</v>
      </c>
    </row>
    <row r="49" spans="1:16" ht="13.5" thickBot="1">
      <c r="A49" s="553"/>
      <c r="B49" s="559"/>
      <c r="C49" s="285" t="s">
        <v>193</v>
      </c>
      <c r="D49" s="286">
        <v>3</v>
      </c>
      <c r="E49" s="286">
        <v>9</v>
      </c>
      <c r="F49" s="286">
        <v>11</v>
      </c>
      <c r="G49" s="286">
        <v>4</v>
      </c>
      <c r="H49" s="286">
        <v>2</v>
      </c>
      <c r="I49" s="286">
        <v>3</v>
      </c>
      <c r="J49" s="286">
        <v>2</v>
      </c>
      <c r="K49" s="286">
        <v>4</v>
      </c>
      <c r="L49" s="286">
        <v>3</v>
      </c>
      <c r="M49" s="286">
        <v>0</v>
      </c>
      <c r="N49" s="286">
        <v>2</v>
      </c>
      <c r="O49" s="286">
        <v>1</v>
      </c>
      <c r="P49" s="415"/>
    </row>
    <row r="50" spans="1:16" ht="13.5" thickBot="1">
      <c r="A50" s="554" t="s">
        <v>201</v>
      </c>
      <c r="B50" s="555"/>
      <c r="C50" s="556"/>
      <c r="D50" s="287">
        <f>D7+D8+D10+D11+D12+D13+D14+D15+D16+D17+D18+D19+D20+D21+D22+D23+D24+D25+D26+D27+D28+D29+D38+D39+D40+D41+D42+D43+D45+D46+D47+D48</f>
        <v>4272183</v>
      </c>
      <c r="E50" s="287">
        <f aca="true" t="shared" si="3" ref="E50:O50">E7+E8+E10+E11+E12+E13+E14+E15+E16+E17+E18+E19+E20+E21+E22+E23+E24+E25+E26+E27+E28+E29+E38+E39+E40+E41+E42+E43+E45+E46+E47+E48</f>
        <v>2398001</v>
      </c>
      <c r="F50" s="287">
        <f t="shared" si="3"/>
        <v>2427822</v>
      </c>
      <c r="G50" s="287">
        <f t="shared" si="3"/>
        <v>3953335</v>
      </c>
      <c r="H50" s="287">
        <f t="shared" si="3"/>
        <v>12254353</v>
      </c>
      <c r="I50" s="287">
        <f t="shared" si="3"/>
        <v>5263747</v>
      </c>
      <c r="J50" s="287">
        <f t="shared" si="3"/>
        <v>5686000</v>
      </c>
      <c r="K50" s="287">
        <f t="shared" si="3"/>
        <v>4198145</v>
      </c>
      <c r="L50" s="287">
        <f t="shared" si="3"/>
        <v>43374825</v>
      </c>
      <c r="M50" s="287">
        <f t="shared" si="3"/>
        <v>14251997</v>
      </c>
      <c r="N50" s="287">
        <f t="shared" si="3"/>
        <v>4098517</v>
      </c>
      <c r="O50" s="287">
        <f t="shared" si="3"/>
        <v>3338923</v>
      </c>
      <c r="P50" s="196">
        <f t="shared" si="2"/>
        <v>105517848</v>
      </c>
    </row>
  </sheetData>
  <sheetProtection/>
  <mergeCells count="11">
    <mergeCell ref="B45:B49"/>
    <mergeCell ref="A32:O32"/>
    <mergeCell ref="D36:P36"/>
    <mergeCell ref="A38:A49"/>
    <mergeCell ref="A7:A30"/>
    <mergeCell ref="A1:O1"/>
    <mergeCell ref="A50:C50"/>
    <mergeCell ref="B7:B9"/>
    <mergeCell ref="B10:B30"/>
    <mergeCell ref="B38:B44"/>
    <mergeCell ref="D5:P5"/>
  </mergeCells>
  <printOptions horizontalCentered="1"/>
  <pageMargins left="0" right="0" top="0.5" bottom="0.5" header="0" footer="0"/>
  <pageSetup firstPageNumber="7" useFirstPageNumber="1"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S50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3.8515625" style="5" customWidth="1"/>
    <col min="2" max="2" width="6.7109375" style="21" customWidth="1"/>
    <col min="3" max="3" width="17.00390625" style="56" customWidth="1"/>
    <col min="4" max="4" width="8.00390625" style="2" bestFit="1" customWidth="1"/>
    <col min="5" max="5" width="9.00390625" style="2" bestFit="1" customWidth="1"/>
    <col min="6" max="8" width="8.140625" style="2" bestFit="1" customWidth="1"/>
    <col min="9" max="9" width="7.7109375" style="2" bestFit="1" customWidth="1"/>
    <col min="10" max="12" width="7.421875" style="2" bestFit="1" customWidth="1"/>
    <col min="13" max="13" width="7.7109375" style="2" bestFit="1" customWidth="1"/>
    <col min="14" max="14" width="7.421875" style="2" bestFit="1" customWidth="1"/>
    <col min="15" max="15" width="7.7109375" style="2" customWidth="1"/>
    <col min="16" max="19" width="9.140625" style="2" customWidth="1"/>
    <col min="20" max="16384" width="9.140625" style="5" customWidth="1"/>
  </cols>
  <sheetData>
    <row r="1" spans="1:15" ht="19.5" customHeight="1">
      <c r="A1" s="514" t="s">
        <v>203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</row>
    <row r="2" ht="12.75">
      <c r="A2" s="14" t="s">
        <v>189</v>
      </c>
    </row>
    <row r="3" spans="1:19" ht="12.75">
      <c r="A3" s="5" t="s">
        <v>393</v>
      </c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ht="6.75" customHeight="1" thickBot="1"/>
    <row r="5" spans="4:16" ht="15" customHeight="1" thickBot="1">
      <c r="D5" s="458">
        <v>2008</v>
      </c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</row>
    <row r="6" spans="1:16" ht="48" thickBot="1">
      <c r="A6" s="11"/>
      <c r="B6" s="17"/>
      <c r="C6" s="275"/>
      <c r="D6" s="67" t="s">
        <v>304</v>
      </c>
      <c r="E6" s="67" t="s">
        <v>305</v>
      </c>
      <c r="F6" s="67" t="s">
        <v>306</v>
      </c>
      <c r="G6" s="67" t="s">
        <v>307</v>
      </c>
      <c r="H6" s="67" t="s">
        <v>308</v>
      </c>
      <c r="I6" s="67" t="s">
        <v>309</v>
      </c>
      <c r="J6" s="67" t="s">
        <v>310</v>
      </c>
      <c r="K6" s="67" t="s">
        <v>311</v>
      </c>
      <c r="L6" s="67" t="s">
        <v>312</v>
      </c>
      <c r="M6" s="67" t="s">
        <v>313</v>
      </c>
      <c r="N6" s="67" t="s">
        <v>314</v>
      </c>
      <c r="O6" s="67" t="s">
        <v>315</v>
      </c>
      <c r="P6" s="67" t="s">
        <v>389</v>
      </c>
    </row>
    <row r="7" spans="1:16" ht="19.5" customHeight="1">
      <c r="A7" s="563" t="s">
        <v>204</v>
      </c>
      <c r="B7" s="557" t="s">
        <v>190</v>
      </c>
      <c r="C7" s="272" t="s">
        <v>191</v>
      </c>
      <c r="D7" s="265">
        <v>39245</v>
      </c>
      <c r="E7" s="265">
        <v>19830</v>
      </c>
      <c r="F7" s="265">
        <v>17357</v>
      </c>
      <c r="G7" s="265">
        <v>29095</v>
      </c>
      <c r="H7" s="265">
        <v>148542</v>
      </c>
      <c r="I7" s="265">
        <v>80426</v>
      </c>
      <c r="J7" s="265">
        <v>104373</v>
      </c>
      <c r="K7" s="265">
        <v>44080</v>
      </c>
      <c r="L7" s="265">
        <v>246703</v>
      </c>
      <c r="M7" s="265">
        <v>59981</v>
      </c>
      <c r="N7" s="265">
        <v>42960</v>
      </c>
      <c r="O7" s="265">
        <v>17795</v>
      </c>
      <c r="P7" s="198">
        <f>SUM(D7:O7)</f>
        <v>850387</v>
      </c>
    </row>
    <row r="8" spans="1:16" s="15" customFormat="1" ht="19.5" customHeight="1" thickBot="1">
      <c r="A8" s="566"/>
      <c r="B8" s="558"/>
      <c r="C8" s="284" t="s">
        <v>192</v>
      </c>
      <c r="D8" s="278">
        <v>16700</v>
      </c>
      <c r="E8" s="278">
        <v>6859</v>
      </c>
      <c r="F8" s="278">
        <v>4767</v>
      </c>
      <c r="G8" s="278">
        <v>8431</v>
      </c>
      <c r="H8" s="278">
        <v>73265</v>
      </c>
      <c r="I8" s="278">
        <v>40652</v>
      </c>
      <c r="J8" s="278">
        <v>38661</v>
      </c>
      <c r="K8" s="278">
        <v>26969</v>
      </c>
      <c r="L8" s="279">
        <v>149770</v>
      </c>
      <c r="M8" s="278">
        <v>23424</v>
      </c>
      <c r="N8" s="278">
        <v>10641</v>
      </c>
      <c r="O8" s="278">
        <v>4438</v>
      </c>
      <c r="P8" s="280">
        <f aca="true" t="shared" si="0" ref="P8:P50">SUM(D8:O8)</f>
        <v>404577</v>
      </c>
    </row>
    <row r="9" spans="1:16" s="15" customFormat="1" ht="19.5" customHeight="1" thickBot="1">
      <c r="A9" s="566"/>
      <c r="B9" s="559"/>
      <c r="C9" s="281" t="s">
        <v>193</v>
      </c>
      <c r="D9" s="282">
        <v>21</v>
      </c>
      <c r="E9" s="282">
        <v>20</v>
      </c>
      <c r="F9" s="282">
        <v>18</v>
      </c>
      <c r="G9" s="282">
        <v>20</v>
      </c>
      <c r="H9" s="282">
        <v>19</v>
      </c>
      <c r="I9" s="282">
        <v>21</v>
      </c>
      <c r="J9" s="282">
        <v>22</v>
      </c>
      <c r="K9" s="282">
        <v>20</v>
      </c>
      <c r="L9" s="283">
        <v>21</v>
      </c>
      <c r="M9" s="282">
        <v>21</v>
      </c>
      <c r="N9" s="282">
        <v>1</v>
      </c>
      <c r="O9" s="282">
        <v>17</v>
      </c>
      <c r="P9" s="415"/>
    </row>
    <row r="10" spans="1:16" s="9" customFormat="1" ht="11.25">
      <c r="A10" s="566"/>
      <c r="B10" s="568" t="s">
        <v>427</v>
      </c>
      <c r="C10" s="270" t="s">
        <v>1</v>
      </c>
      <c r="D10" s="273">
        <v>0</v>
      </c>
      <c r="E10" s="273">
        <v>0</v>
      </c>
      <c r="F10" s="273">
        <v>11</v>
      </c>
      <c r="G10" s="273">
        <v>0</v>
      </c>
      <c r="H10" s="273">
        <v>78</v>
      </c>
      <c r="I10" s="273">
        <v>0</v>
      </c>
      <c r="J10" s="273">
        <v>0</v>
      </c>
      <c r="K10" s="273">
        <v>0</v>
      </c>
      <c r="L10" s="265">
        <v>44116</v>
      </c>
      <c r="M10" s="273">
        <v>11239</v>
      </c>
      <c r="N10" s="273">
        <v>182</v>
      </c>
      <c r="O10" s="273">
        <v>0</v>
      </c>
      <c r="P10" s="198">
        <f t="shared" si="0"/>
        <v>55626</v>
      </c>
    </row>
    <row r="11" spans="1:16" s="9" customFormat="1" ht="11.25">
      <c r="A11" s="566"/>
      <c r="B11" s="569"/>
      <c r="C11" s="271" t="s">
        <v>2</v>
      </c>
      <c r="D11" s="266">
        <v>898</v>
      </c>
      <c r="E11" s="266">
        <v>136</v>
      </c>
      <c r="F11" s="266">
        <v>3372</v>
      </c>
      <c r="G11" s="266">
        <v>6253</v>
      </c>
      <c r="H11" s="266">
        <v>3071</v>
      </c>
      <c r="I11" s="266">
        <v>11709</v>
      </c>
      <c r="J11" s="266">
        <v>1024</v>
      </c>
      <c r="K11" s="266">
        <v>21999</v>
      </c>
      <c r="L11" s="267">
        <v>12413</v>
      </c>
      <c r="M11" s="266">
        <v>52</v>
      </c>
      <c r="N11" s="266">
        <v>499</v>
      </c>
      <c r="O11" s="266">
        <v>10656</v>
      </c>
      <c r="P11" s="203">
        <f t="shared" si="0"/>
        <v>72082</v>
      </c>
    </row>
    <row r="12" spans="1:16" s="9" customFormat="1" ht="11.25">
      <c r="A12" s="566"/>
      <c r="B12" s="569"/>
      <c r="C12" s="271" t="s">
        <v>3</v>
      </c>
      <c r="D12" s="266">
        <v>3394</v>
      </c>
      <c r="E12" s="266">
        <v>1992</v>
      </c>
      <c r="F12" s="266">
        <v>11424</v>
      </c>
      <c r="G12" s="266">
        <v>10977</v>
      </c>
      <c r="H12" s="266">
        <v>12923</v>
      </c>
      <c r="I12" s="266">
        <v>15182</v>
      </c>
      <c r="J12" s="266">
        <v>4416</v>
      </c>
      <c r="K12" s="266">
        <v>20310</v>
      </c>
      <c r="L12" s="267">
        <v>7222</v>
      </c>
      <c r="M12" s="266">
        <v>11595</v>
      </c>
      <c r="N12" s="266">
        <v>2398</v>
      </c>
      <c r="O12" s="266">
        <v>1223</v>
      </c>
      <c r="P12" s="203">
        <f t="shared" si="0"/>
        <v>103056</v>
      </c>
    </row>
    <row r="13" spans="1:16" s="9" customFormat="1" ht="11.25">
      <c r="A13" s="566"/>
      <c r="B13" s="569"/>
      <c r="C13" s="271" t="s">
        <v>4</v>
      </c>
      <c r="D13" s="266">
        <v>273</v>
      </c>
      <c r="E13" s="266">
        <v>60</v>
      </c>
      <c r="F13" s="266">
        <v>0</v>
      </c>
      <c r="G13" s="266">
        <v>0</v>
      </c>
      <c r="H13" s="266">
        <v>696</v>
      </c>
      <c r="I13" s="266">
        <v>80</v>
      </c>
      <c r="J13" s="266">
        <v>571</v>
      </c>
      <c r="K13" s="266">
        <v>44</v>
      </c>
      <c r="L13" s="267">
        <v>1561</v>
      </c>
      <c r="M13" s="266">
        <v>329</v>
      </c>
      <c r="N13" s="266">
        <v>103</v>
      </c>
      <c r="O13" s="266">
        <v>274</v>
      </c>
      <c r="P13" s="203">
        <f t="shared" si="0"/>
        <v>3991</v>
      </c>
    </row>
    <row r="14" spans="1:16" s="9" customFormat="1" ht="11.25">
      <c r="A14" s="566"/>
      <c r="B14" s="569"/>
      <c r="C14" s="271" t="s">
        <v>5</v>
      </c>
      <c r="D14" s="266">
        <v>434</v>
      </c>
      <c r="E14" s="266">
        <v>58</v>
      </c>
      <c r="F14" s="266">
        <v>989</v>
      </c>
      <c r="G14" s="266">
        <v>37</v>
      </c>
      <c r="H14" s="266">
        <v>800</v>
      </c>
      <c r="I14" s="266">
        <v>824</v>
      </c>
      <c r="J14" s="266">
        <v>312</v>
      </c>
      <c r="K14" s="266">
        <v>274</v>
      </c>
      <c r="L14" s="267">
        <v>789</v>
      </c>
      <c r="M14" s="266">
        <v>44</v>
      </c>
      <c r="N14" s="266">
        <v>0</v>
      </c>
      <c r="O14" s="266">
        <v>353</v>
      </c>
      <c r="P14" s="203">
        <f t="shared" si="0"/>
        <v>4914</v>
      </c>
    </row>
    <row r="15" spans="1:16" s="9" customFormat="1" ht="22.5">
      <c r="A15" s="566"/>
      <c r="B15" s="569"/>
      <c r="C15" s="271" t="s">
        <v>6</v>
      </c>
      <c r="D15" s="266">
        <v>3146</v>
      </c>
      <c r="E15" s="266">
        <v>2582</v>
      </c>
      <c r="F15" s="266">
        <v>480</v>
      </c>
      <c r="G15" s="266">
        <v>3309</v>
      </c>
      <c r="H15" s="266">
        <v>957</v>
      </c>
      <c r="I15" s="266">
        <v>113</v>
      </c>
      <c r="J15" s="266">
        <v>519</v>
      </c>
      <c r="K15" s="266">
        <v>1495</v>
      </c>
      <c r="L15" s="267">
        <v>1191</v>
      </c>
      <c r="M15" s="266">
        <v>5210</v>
      </c>
      <c r="N15" s="266">
        <v>5294</v>
      </c>
      <c r="O15" s="266">
        <v>166</v>
      </c>
      <c r="P15" s="203">
        <f t="shared" si="0"/>
        <v>24462</v>
      </c>
    </row>
    <row r="16" spans="1:16" s="9" customFormat="1" ht="22.5">
      <c r="A16" s="566"/>
      <c r="B16" s="569"/>
      <c r="C16" s="271" t="s">
        <v>7</v>
      </c>
      <c r="D16" s="266">
        <v>29</v>
      </c>
      <c r="E16" s="266">
        <v>0</v>
      </c>
      <c r="F16" s="266">
        <v>0</v>
      </c>
      <c r="G16" s="266">
        <v>0</v>
      </c>
      <c r="H16" s="266">
        <v>50</v>
      </c>
      <c r="I16" s="266">
        <v>173</v>
      </c>
      <c r="J16" s="266">
        <v>4964</v>
      </c>
      <c r="K16" s="266">
        <v>0</v>
      </c>
      <c r="L16" s="267">
        <v>48</v>
      </c>
      <c r="M16" s="266">
        <v>0</v>
      </c>
      <c r="N16" s="266">
        <v>2136</v>
      </c>
      <c r="O16" s="266">
        <v>0</v>
      </c>
      <c r="P16" s="203">
        <f t="shared" si="0"/>
        <v>7400</v>
      </c>
    </row>
    <row r="17" spans="1:16" s="9" customFormat="1" ht="22.5">
      <c r="A17" s="566"/>
      <c r="B17" s="569"/>
      <c r="C17" s="271" t="s">
        <v>8</v>
      </c>
      <c r="D17" s="266">
        <v>77</v>
      </c>
      <c r="E17" s="266">
        <v>10</v>
      </c>
      <c r="F17" s="266">
        <v>50</v>
      </c>
      <c r="G17" s="266">
        <v>528</v>
      </c>
      <c r="H17" s="266">
        <v>325</v>
      </c>
      <c r="I17" s="266">
        <v>192</v>
      </c>
      <c r="J17" s="266">
        <v>349</v>
      </c>
      <c r="K17" s="266">
        <v>537</v>
      </c>
      <c r="L17" s="267">
        <v>159</v>
      </c>
      <c r="M17" s="266">
        <v>417</v>
      </c>
      <c r="N17" s="266">
        <v>1379</v>
      </c>
      <c r="O17" s="266">
        <v>173</v>
      </c>
      <c r="P17" s="203">
        <f t="shared" si="0"/>
        <v>4196</v>
      </c>
    </row>
    <row r="18" spans="1:16" s="9" customFormat="1" ht="22.5">
      <c r="A18" s="566"/>
      <c r="B18" s="569"/>
      <c r="C18" s="271" t="s">
        <v>9</v>
      </c>
      <c r="D18" s="266">
        <v>0</v>
      </c>
      <c r="E18" s="266">
        <v>480</v>
      </c>
      <c r="F18" s="266">
        <v>20</v>
      </c>
      <c r="G18" s="266">
        <v>271</v>
      </c>
      <c r="H18" s="266">
        <v>300</v>
      </c>
      <c r="I18" s="266">
        <v>618</v>
      </c>
      <c r="J18" s="266">
        <v>0</v>
      </c>
      <c r="K18" s="266">
        <v>164</v>
      </c>
      <c r="L18" s="267">
        <v>288</v>
      </c>
      <c r="M18" s="266">
        <v>152</v>
      </c>
      <c r="N18" s="266">
        <v>0</v>
      </c>
      <c r="O18" s="266">
        <v>121</v>
      </c>
      <c r="P18" s="203">
        <f t="shared" si="0"/>
        <v>2414</v>
      </c>
    </row>
    <row r="19" spans="1:16" s="9" customFormat="1" ht="11.25">
      <c r="A19" s="566"/>
      <c r="B19" s="569"/>
      <c r="C19" s="271" t="s">
        <v>10</v>
      </c>
      <c r="D19" s="266">
        <v>2016</v>
      </c>
      <c r="E19" s="266">
        <v>1260</v>
      </c>
      <c r="F19" s="266">
        <v>1428</v>
      </c>
      <c r="G19" s="266">
        <v>1713</v>
      </c>
      <c r="H19" s="266">
        <v>7021</v>
      </c>
      <c r="I19" s="266">
        <v>2191</v>
      </c>
      <c r="J19" s="266">
        <v>1532</v>
      </c>
      <c r="K19" s="266">
        <v>1309</v>
      </c>
      <c r="L19" s="267">
        <v>610</v>
      </c>
      <c r="M19" s="266">
        <v>2257</v>
      </c>
      <c r="N19" s="266">
        <v>591</v>
      </c>
      <c r="O19" s="266">
        <v>1674</v>
      </c>
      <c r="P19" s="203">
        <f t="shared" si="0"/>
        <v>23602</v>
      </c>
    </row>
    <row r="20" spans="1:16" s="9" customFormat="1" ht="11.25">
      <c r="A20" s="566"/>
      <c r="B20" s="569"/>
      <c r="C20" s="271" t="s">
        <v>11</v>
      </c>
      <c r="D20" s="266">
        <v>33</v>
      </c>
      <c r="E20" s="266">
        <v>32</v>
      </c>
      <c r="F20" s="266">
        <v>107</v>
      </c>
      <c r="G20" s="266">
        <v>8</v>
      </c>
      <c r="H20" s="266">
        <v>358</v>
      </c>
      <c r="I20" s="266">
        <v>921</v>
      </c>
      <c r="J20" s="266">
        <v>557</v>
      </c>
      <c r="K20" s="266">
        <v>461</v>
      </c>
      <c r="L20" s="267">
        <v>130</v>
      </c>
      <c r="M20" s="266">
        <v>15</v>
      </c>
      <c r="N20" s="266">
        <v>47</v>
      </c>
      <c r="O20" s="266">
        <v>0</v>
      </c>
      <c r="P20" s="203">
        <f t="shared" si="0"/>
        <v>2669</v>
      </c>
    </row>
    <row r="21" spans="1:16" s="9" customFormat="1" ht="11.25">
      <c r="A21" s="566"/>
      <c r="B21" s="569"/>
      <c r="C21" s="271" t="s">
        <v>296</v>
      </c>
      <c r="D21" s="266">
        <v>0</v>
      </c>
      <c r="E21" s="266">
        <v>0</v>
      </c>
      <c r="F21" s="266">
        <v>0</v>
      </c>
      <c r="G21" s="266">
        <v>0</v>
      </c>
      <c r="H21" s="266">
        <v>0</v>
      </c>
      <c r="I21" s="266">
        <v>0</v>
      </c>
      <c r="J21" s="266">
        <v>0</v>
      </c>
      <c r="K21" s="266">
        <v>0</v>
      </c>
      <c r="L21" s="267">
        <v>0</v>
      </c>
      <c r="M21" s="266">
        <v>360</v>
      </c>
      <c r="N21" s="266">
        <v>100</v>
      </c>
      <c r="O21" s="266">
        <v>171</v>
      </c>
      <c r="P21" s="203">
        <f t="shared" si="0"/>
        <v>631</v>
      </c>
    </row>
    <row r="22" spans="1:16" s="9" customFormat="1" ht="11.25">
      <c r="A22" s="566"/>
      <c r="B22" s="569"/>
      <c r="C22" s="271" t="s">
        <v>12</v>
      </c>
      <c r="D22" s="266">
        <v>884</v>
      </c>
      <c r="E22" s="266">
        <v>449</v>
      </c>
      <c r="F22" s="266">
        <v>886</v>
      </c>
      <c r="G22" s="266">
        <v>538</v>
      </c>
      <c r="H22" s="266">
        <v>4994</v>
      </c>
      <c r="I22" s="266">
        <v>1588</v>
      </c>
      <c r="J22" s="266">
        <v>1024</v>
      </c>
      <c r="K22" s="266">
        <v>409</v>
      </c>
      <c r="L22" s="267">
        <v>428</v>
      </c>
      <c r="M22" s="266">
        <v>2307</v>
      </c>
      <c r="N22" s="266">
        <v>301</v>
      </c>
      <c r="O22" s="266">
        <v>294</v>
      </c>
      <c r="P22" s="203">
        <f t="shared" si="0"/>
        <v>14102</v>
      </c>
    </row>
    <row r="23" spans="1:16" s="9" customFormat="1" ht="22.5">
      <c r="A23" s="566"/>
      <c r="B23" s="569"/>
      <c r="C23" s="271" t="s">
        <v>13</v>
      </c>
      <c r="D23" s="266">
        <v>123</v>
      </c>
      <c r="E23" s="266">
        <v>0</v>
      </c>
      <c r="F23" s="266">
        <v>0</v>
      </c>
      <c r="G23" s="266">
        <v>8</v>
      </c>
      <c r="H23" s="266">
        <v>0</v>
      </c>
      <c r="I23" s="266">
        <v>80</v>
      </c>
      <c r="J23" s="266">
        <v>1213</v>
      </c>
      <c r="K23" s="266">
        <v>40</v>
      </c>
      <c r="L23" s="267">
        <v>443</v>
      </c>
      <c r="M23" s="266">
        <v>53</v>
      </c>
      <c r="N23" s="266">
        <v>14</v>
      </c>
      <c r="O23" s="266">
        <v>28</v>
      </c>
      <c r="P23" s="203">
        <f t="shared" si="0"/>
        <v>2002</v>
      </c>
    </row>
    <row r="24" spans="1:16" s="9" customFormat="1" ht="11.25">
      <c r="A24" s="566"/>
      <c r="B24" s="569"/>
      <c r="C24" s="271" t="s">
        <v>14</v>
      </c>
      <c r="D24" s="266">
        <v>2711</v>
      </c>
      <c r="E24" s="266">
        <v>102</v>
      </c>
      <c r="F24" s="266">
        <v>0</v>
      </c>
      <c r="G24" s="266">
        <v>287</v>
      </c>
      <c r="H24" s="266">
        <v>0</v>
      </c>
      <c r="I24" s="266">
        <v>0</v>
      </c>
      <c r="J24" s="266">
        <v>150</v>
      </c>
      <c r="K24" s="266">
        <v>0</v>
      </c>
      <c r="L24" s="267">
        <v>100</v>
      </c>
      <c r="M24" s="266">
        <v>0</v>
      </c>
      <c r="N24" s="266">
        <v>0</v>
      </c>
      <c r="O24" s="266">
        <v>0</v>
      </c>
      <c r="P24" s="203">
        <f t="shared" si="0"/>
        <v>3350</v>
      </c>
    </row>
    <row r="25" spans="1:16" s="9" customFormat="1" ht="11.25">
      <c r="A25" s="566"/>
      <c r="B25" s="569"/>
      <c r="C25" s="271" t="s">
        <v>15</v>
      </c>
      <c r="D25" s="266">
        <v>5756</v>
      </c>
      <c r="E25" s="266">
        <v>3953</v>
      </c>
      <c r="F25" s="266">
        <v>2515</v>
      </c>
      <c r="G25" s="266">
        <v>8132</v>
      </c>
      <c r="H25" s="266">
        <v>18761</v>
      </c>
      <c r="I25" s="266">
        <v>10361</v>
      </c>
      <c r="J25" s="266">
        <v>8528</v>
      </c>
      <c r="K25" s="266">
        <v>4695</v>
      </c>
      <c r="L25" s="267">
        <v>9419</v>
      </c>
      <c r="M25" s="266">
        <v>7435</v>
      </c>
      <c r="N25" s="266">
        <v>1559</v>
      </c>
      <c r="O25" s="266">
        <v>2567</v>
      </c>
      <c r="P25" s="203">
        <f t="shared" si="0"/>
        <v>83681</v>
      </c>
    </row>
    <row r="26" spans="1:16" s="9" customFormat="1" ht="22.5">
      <c r="A26" s="566"/>
      <c r="B26" s="569"/>
      <c r="C26" s="271" t="s">
        <v>16</v>
      </c>
      <c r="D26" s="266">
        <v>607</v>
      </c>
      <c r="E26" s="266">
        <v>3557</v>
      </c>
      <c r="F26" s="266">
        <v>2815</v>
      </c>
      <c r="G26" s="266">
        <v>3535</v>
      </c>
      <c r="H26" s="266">
        <v>362</v>
      </c>
      <c r="I26" s="266">
        <v>99</v>
      </c>
      <c r="J26" s="266">
        <v>2261</v>
      </c>
      <c r="K26" s="266">
        <v>2207</v>
      </c>
      <c r="L26" s="267">
        <v>2984</v>
      </c>
      <c r="M26" s="266">
        <v>4096</v>
      </c>
      <c r="N26" s="266">
        <v>4</v>
      </c>
      <c r="O26" s="266">
        <v>497</v>
      </c>
      <c r="P26" s="203">
        <f t="shared" si="0"/>
        <v>23024</v>
      </c>
    </row>
    <row r="27" spans="1:16" s="9" customFormat="1" ht="22.5">
      <c r="A27" s="566"/>
      <c r="B27" s="569"/>
      <c r="C27" s="271" t="s">
        <v>17</v>
      </c>
      <c r="D27" s="266">
        <v>122</v>
      </c>
      <c r="E27" s="266">
        <v>0</v>
      </c>
      <c r="F27" s="266">
        <v>0</v>
      </c>
      <c r="G27" s="266">
        <v>0</v>
      </c>
      <c r="H27" s="266">
        <v>0</v>
      </c>
      <c r="I27" s="266">
        <v>0</v>
      </c>
      <c r="J27" s="266">
        <v>0</v>
      </c>
      <c r="K27" s="266">
        <v>0</v>
      </c>
      <c r="L27" s="267">
        <v>0</v>
      </c>
      <c r="M27" s="266">
        <v>0</v>
      </c>
      <c r="N27" s="266">
        <v>0</v>
      </c>
      <c r="O27" s="266">
        <v>0</v>
      </c>
      <c r="P27" s="203">
        <f t="shared" si="0"/>
        <v>122</v>
      </c>
    </row>
    <row r="28" spans="1:16" s="9" customFormat="1" ht="22.5">
      <c r="A28" s="566"/>
      <c r="B28" s="569"/>
      <c r="C28" s="271" t="s">
        <v>18</v>
      </c>
      <c r="D28" s="266">
        <v>0</v>
      </c>
      <c r="E28" s="266">
        <v>0</v>
      </c>
      <c r="F28" s="266">
        <v>1653</v>
      </c>
      <c r="G28" s="266">
        <v>557</v>
      </c>
      <c r="H28" s="266">
        <v>1196</v>
      </c>
      <c r="I28" s="266">
        <v>521</v>
      </c>
      <c r="J28" s="266">
        <v>270</v>
      </c>
      <c r="K28" s="266">
        <v>1633</v>
      </c>
      <c r="L28" s="267">
        <v>83</v>
      </c>
      <c r="M28" s="266">
        <v>0</v>
      </c>
      <c r="N28" s="266">
        <v>5</v>
      </c>
      <c r="O28" s="266">
        <v>0</v>
      </c>
      <c r="P28" s="203">
        <f t="shared" si="0"/>
        <v>5918</v>
      </c>
    </row>
    <row r="29" spans="1:16" s="9" customFormat="1" ht="23.25" thickBot="1">
      <c r="A29" s="566"/>
      <c r="B29" s="569"/>
      <c r="C29" s="277" t="s">
        <v>19</v>
      </c>
      <c r="D29" s="278">
        <v>0</v>
      </c>
      <c r="E29" s="278">
        <v>0</v>
      </c>
      <c r="F29" s="278">
        <v>0</v>
      </c>
      <c r="G29" s="278">
        <v>72</v>
      </c>
      <c r="H29" s="278">
        <v>55</v>
      </c>
      <c r="I29" s="278">
        <v>189</v>
      </c>
      <c r="J29" s="278">
        <v>169</v>
      </c>
      <c r="K29" s="278">
        <v>1814</v>
      </c>
      <c r="L29" s="279">
        <v>51</v>
      </c>
      <c r="M29" s="278">
        <v>0</v>
      </c>
      <c r="N29" s="278">
        <v>21</v>
      </c>
      <c r="O29" s="278">
        <v>0</v>
      </c>
      <c r="P29" s="280">
        <f>SUM(D29:O29)</f>
        <v>2371</v>
      </c>
    </row>
    <row r="30" spans="1:16" s="9" customFormat="1" ht="12" thickBot="1">
      <c r="A30" s="567"/>
      <c r="B30" s="570"/>
      <c r="C30" s="281" t="s">
        <v>193</v>
      </c>
      <c r="D30" s="282">
        <v>19</v>
      </c>
      <c r="E30" s="282">
        <v>18</v>
      </c>
      <c r="F30" s="282">
        <v>15</v>
      </c>
      <c r="G30" s="282">
        <v>20</v>
      </c>
      <c r="H30" s="282">
        <v>19</v>
      </c>
      <c r="I30" s="282">
        <v>21</v>
      </c>
      <c r="J30" s="282">
        <v>22</v>
      </c>
      <c r="K30" s="282">
        <v>19</v>
      </c>
      <c r="L30" s="283">
        <v>20</v>
      </c>
      <c r="M30" s="282">
        <v>21</v>
      </c>
      <c r="N30" s="282">
        <v>17</v>
      </c>
      <c r="O30" s="282">
        <v>15</v>
      </c>
      <c r="P30" s="415"/>
    </row>
    <row r="31" spans="1:16" s="9" customFormat="1" ht="11.25">
      <c r="A31" s="296"/>
      <c r="B31" s="289"/>
      <c r="C31" s="290"/>
      <c r="D31" s="291"/>
      <c r="E31" s="291"/>
      <c r="F31" s="291"/>
      <c r="G31" s="291"/>
      <c r="H31" s="291"/>
      <c r="I31" s="291"/>
      <c r="J31" s="291"/>
      <c r="K31" s="291"/>
      <c r="L31" s="292"/>
      <c r="M31" s="291"/>
      <c r="N31" s="291"/>
      <c r="O31" s="291"/>
      <c r="P31" s="416"/>
    </row>
    <row r="32" spans="1:15" ht="19.5" customHeight="1">
      <c r="A32" s="514" t="s">
        <v>468</v>
      </c>
      <c r="B32" s="514"/>
      <c r="C32" s="514"/>
      <c r="D32" s="514"/>
      <c r="E32" s="514"/>
      <c r="F32" s="514"/>
      <c r="G32" s="514"/>
      <c r="H32" s="514"/>
      <c r="I32" s="514"/>
      <c r="J32" s="514"/>
      <c r="K32" s="514"/>
      <c r="L32" s="514"/>
      <c r="M32" s="514"/>
      <c r="N32" s="514"/>
      <c r="O32" s="514"/>
    </row>
    <row r="33" ht="12.75">
      <c r="A33" s="14" t="s">
        <v>189</v>
      </c>
    </row>
    <row r="34" spans="1:19" ht="12.75">
      <c r="A34" s="5" t="s">
        <v>393</v>
      </c>
      <c r="B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ht="6.75" customHeight="1" thickBot="1"/>
    <row r="36" spans="4:16" ht="15" customHeight="1" thickBot="1">
      <c r="D36" s="458">
        <v>2008</v>
      </c>
      <c r="E36" s="458"/>
      <c r="F36" s="458"/>
      <c r="G36" s="458"/>
      <c r="H36" s="458"/>
      <c r="I36" s="458"/>
      <c r="J36" s="458"/>
      <c r="K36" s="458"/>
      <c r="L36" s="458"/>
      <c r="M36" s="458"/>
      <c r="N36" s="458"/>
      <c r="O36" s="458"/>
      <c r="P36" s="458"/>
    </row>
    <row r="37" spans="1:16" ht="48" thickBot="1">
      <c r="A37" s="11"/>
      <c r="B37" s="17"/>
      <c r="C37" s="275"/>
      <c r="D37" s="67" t="s">
        <v>304</v>
      </c>
      <c r="E37" s="67" t="s">
        <v>305</v>
      </c>
      <c r="F37" s="67" t="s">
        <v>306</v>
      </c>
      <c r="G37" s="67" t="s">
        <v>307</v>
      </c>
      <c r="H37" s="67" t="s">
        <v>308</v>
      </c>
      <c r="I37" s="67" t="s">
        <v>309</v>
      </c>
      <c r="J37" s="67" t="s">
        <v>310</v>
      </c>
      <c r="K37" s="67" t="s">
        <v>311</v>
      </c>
      <c r="L37" s="67" t="s">
        <v>312</v>
      </c>
      <c r="M37" s="67" t="s">
        <v>313</v>
      </c>
      <c r="N37" s="67" t="s">
        <v>314</v>
      </c>
      <c r="O37" s="67" t="s">
        <v>315</v>
      </c>
      <c r="P37" s="67" t="s">
        <v>389</v>
      </c>
    </row>
    <row r="38" spans="1:16" s="9" customFormat="1" ht="30" customHeight="1">
      <c r="A38" s="563" t="s">
        <v>204</v>
      </c>
      <c r="B38" s="557" t="s">
        <v>205</v>
      </c>
      <c r="C38" s="272" t="s">
        <v>469</v>
      </c>
      <c r="D38" s="273">
        <v>0</v>
      </c>
      <c r="E38" s="273">
        <v>0</v>
      </c>
      <c r="F38" s="273">
        <v>6</v>
      </c>
      <c r="G38" s="273">
        <v>1212</v>
      </c>
      <c r="H38" s="273">
        <v>0</v>
      </c>
      <c r="I38" s="273">
        <v>0</v>
      </c>
      <c r="J38" s="273">
        <v>5</v>
      </c>
      <c r="K38" s="273">
        <v>890</v>
      </c>
      <c r="L38" s="265">
        <v>743</v>
      </c>
      <c r="M38" s="273">
        <v>501</v>
      </c>
      <c r="N38" s="273">
        <v>10</v>
      </c>
      <c r="O38" s="273">
        <v>537</v>
      </c>
      <c r="P38" s="198">
        <f t="shared" si="0"/>
        <v>3904</v>
      </c>
    </row>
    <row r="39" spans="1:16" s="9" customFormat="1" ht="30" customHeight="1">
      <c r="A39" s="566"/>
      <c r="B39" s="558"/>
      <c r="C39" s="274" t="s">
        <v>288</v>
      </c>
      <c r="D39" s="266">
        <v>646</v>
      </c>
      <c r="E39" s="266">
        <v>313</v>
      </c>
      <c r="F39" s="266">
        <v>319</v>
      </c>
      <c r="G39" s="266">
        <v>598</v>
      </c>
      <c r="H39" s="266">
        <v>1598</v>
      </c>
      <c r="I39" s="266">
        <v>928</v>
      </c>
      <c r="J39" s="266">
        <v>458</v>
      </c>
      <c r="K39" s="266">
        <v>63</v>
      </c>
      <c r="L39" s="267">
        <v>140</v>
      </c>
      <c r="M39" s="266">
        <v>101</v>
      </c>
      <c r="N39" s="266">
        <v>258</v>
      </c>
      <c r="O39" s="266">
        <v>123</v>
      </c>
      <c r="P39" s="203">
        <f t="shared" si="0"/>
        <v>5545</v>
      </c>
    </row>
    <row r="40" spans="1:16" s="9" customFormat="1" ht="30" customHeight="1">
      <c r="A40" s="566"/>
      <c r="B40" s="558"/>
      <c r="C40" s="274" t="s">
        <v>196</v>
      </c>
      <c r="D40" s="266">
        <v>0</v>
      </c>
      <c r="E40" s="266">
        <v>6</v>
      </c>
      <c r="F40" s="266">
        <v>0</v>
      </c>
      <c r="G40" s="266">
        <v>0</v>
      </c>
      <c r="H40" s="266">
        <v>255</v>
      </c>
      <c r="I40" s="266">
        <v>25</v>
      </c>
      <c r="J40" s="266">
        <v>6</v>
      </c>
      <c r="K40" s="266">
        <v>0</v>
      </c>
      <c r="L40" s="266">
        <v>1</v>
      </c>
      <c r="M40" s="266">
        <v>35</v>
      </c>
      <c r="N40" s="266">
        <v>0</v>
      </c>
      <c r="O40" s="266">
        <v>76</v>
      </c>
      <c r="P40" s="203">
        <f t="shared" si="0"/>
        <v>404</v>
      </c>
    </row>
    <row r="41" spans="1:16" s="9" customFormat="1" ht="30" customHeight="1">
      <c r="A41" s="566"/>
      <c r="B41" s="558"/>
      <c r="C41" s="274" t="s">
        <v>207</v>
      </c>
      <c r="D41" s="266">
        <v>0</v>
      </c>
      <c r="E41" s="266">
        <v>0</v>
      </c>
      <c r="F41" s="266">
        <v>0</v>
      </c>
      <c r="G41" s="266">
        <v>0</v>
      </c>
      <c r="H41" s="266">
        <v>0</v>
      </c>
      <c r="I41" s="266">
        <v>10</v>
      </c>
      <c r="J41" s="266">
        <v>0</v>
      </c>
      <c r="K41" s="266">
        <v>0</v>
      </c>
      <c r="L41" s="266">
        <v>0</v>
      </c>
      <c r="M41" s="266">
        <v>0</v>
      </c>
      <c r="N41" s="266">
        <v>0</v>
      </c>
      <c r="O41" s="266">
        <v>0</v>
      </c>
      <c r="P41" s="203">
        <f t="shared" si="0"/>
        <v>10</v>
      </c>
    </row>
    <row r="42" spans="1:16" s="9" customFormat="1" ht="30" customHeight="1">
      <c r="A42" s="566"/>
      <c r="B42" s="558"/>
      <c r="C42" s="274" t="s">
        <v>198</v>
      </c>
      <c r="D42" s="266">
        <v>0</v>
      </c>
      <c r="E42" s="266">
        <v>0</v>
      </c>
      <c r="F42" s="266">
        <v>0</v>
      </c>
      <c r="G42" s="266">
        <v>0</v>
      </c>
      <c r="H42" s="266">
        <v>0</v>
      </c>
      <c r="I42" s="266">
        <v>0</v>
      </c>
      <c r="J42" s="266">
        <v>0</v>
      </c>
      <c r="K42" s="266">
        <v>0</v>
      </c>
      <c r="L42" s="266">
        <v>0</v>
      </c>
      <c r="M42" s="266">
        <v>0</v>
      </c>
      <c r="N42" s="266">
        <v>0</v>
      </c>
      <c r="O42" s="266">
        <v>26</v>
      </c>
      <c r="P42" s="203">
        <f t="shared" si="0"/>
        <v>26</v>
      </c>
    </row>
    <row r="43" spans="1:16" s="9" customFormat="1" ht="30" customHeight="1" thickBot="1">
      <c r="A43" s="566"/>
      <c r="B43" s="558"/>
      <c r="C43" s="284" t="s">
        <v>210</v>
      </c>
      <c r="D43" s="278">
        <v>0</v>
      </c>
      <c r="E43" s="278">
        <v>0</v>
      </c>
      <c r="F43" s="278">
        <v>0</v>
      </c>
      <c r="G43" s="278">
        <v>0</v>
      </c>
      <c r="H43" s="278">
        <v>0</v>
      </c>
      <c r="I43" s="278">
        <v>0</v>
      </c>
      <c r="J43" s="278">
        <v>0</v>
      </c>
      <c r="K43" s="278">
        <v>0</v>
      </c>
      <c r="L43" s="278">
        <v>0</v>
      </c>
      <c r="M43" s="278">
        <v>0</v>
      </c>
      <c r="N43" s="278">
        <v>0</v>
      </c>
      <c r="O43" s="278">
        <v>0</v>
      </c>
      <c r="P43" s="280">
        <f t="shared" si="0"/>
        <v>0</v>
      </c>
    </row>
    <row r="44" spans="1:16" s="9" customFormat="1" ht="30" customHeight="1" thickBot="1">
      <c r="A44" s="567"/>
      <c r="B44" s="559"/>
      <c r="C44" s="281" t="s">
        <v>193</v>
      </c>
      <c r="D44" s="282">
        <v>15</v>
      </c>
      <c r="E44" s="282">
        <v>10</v>
      </c>
      <c r="F44" s="282">
        <v>12</v>
      </c>
      <c r="G44" s="282">
        <v>15</v>
      </c>
      <c r="H44" s="282">
        <v>13</v>
      </c>
      <c r="I44" s="282">
        <v>17</v>
      </c>
      <c r="J44" s="282">
        <v>12</v>
      </c>
      <c r="K44" s="282">
        <v>3</v>
      </c>
      <c r="L44" s="282">
        <v>12</v>
      </c>
      <c r="M44" s="282">
        <v>9</v>
      </c>
      <c r="N44" s="282">
        <v>11</v>
      </c>
      <c r="O44" s="282">
        <v>3</v>
      </c>
      <c r="P44" s="415"/>
    </row>
    <row r="45" spans="1:16" s="9" customFormat="1" ht="30" customHeight="1">
      <c r="A45" s="563" t="s">
        <v>206</v>
      </c>
      <c r="B45" s="571" t="s">
        <v>208</v>
      </c>
      <c r="C45" s="272" t="s">
        <v>293</v>
      </c>
      <c r="D45" s="273">
        <v>43</v>
      </c>
      <c r="E45" s="273">
        <v>220</v>
      </c>
      <c r="F45" s="273">
        <v>361</v>
      </c>
      <c r="G45" s="273">
        <v>40</v>
      </c>
      <c r="H45" s="273">
        <v>7</v>
      </c>
      <c r="I45" s="273">
        <v>0</v>
      </c>
      <c r="J45" s="273">
        <v>53</v>
      </c>
      <c r="K45" s="273">
        <v>0</v>
      </c>
      <c r="L45" s="273">
        <v>0</v>
      </c>
      <c r="M45" s="273">
        <v>0</v>
      </c>
      <c r="N45" s="273">
        <v>0</v>
      </c>
      <c r="O45" s="273">
        <v>0</v>
      </c>
      <c r="P45" s="198">
        <f t="shared" si="0"/>
        <v>724</v>
      </c>
    </row>
    <row r="46" spans="1:16" s="9" customFormat="1" ht="30" customHeight="1">
      <c r="A46" s="564"/>
      <c r="B46" s="572"/>
      <c r="C46" s="274" t="s">
        <v>294</v>
      </c>
      <c r="D46" s="266">
        <v>193</v>
      </c>
      <c r="E46" s="266">
        <v>974</v>
      </c>
      <c r="F46" s="266">
        <v>814</v>
      </c>
      <c r="G46" s="266">
        <v>164</v>
      </c>
      <c r="H46" s="266">
        <v>30</v>
      </c>
      <c r="I46" s="266">
        <v>203</v>
      </c>
      <c r="J46" s="266">
        <v>149</v>
      </c>
      <c r="K46" s="266">
        <v>447</v>
      </c>
      <c r="L46" s="266">
        <v>0</v>
      </c>
      <c r="M46" s="266">
        <v>0</v>
      </c>
      <c r="N46" s="266">
        <v>25</v>
      </c>
      <c r="O46" s="266">
        <v>0</v>
      </c>
      <c r="P46" s="203">
        <f t="shared" si="0"/>
        <v>2999</v>
      </c>
    </row>
    <row r="47" spans="1:16" s="9" customFormat="1" ht="30" customHeight="1">
      <c r="A47" s="564"/>
      <c r="B47" s="572"/>
      <c r="C47" s="274" t="s">
        <v>298</v>
      </c>
      <c r="D47" s="266">
        <v>0</v>
      </c>
      <c r="E47" s="266">
        <f>183000/1507.5</f>
        <v>121.39303482587064</v>
      </c>
      <c r="F47" s="266">
        <f>20761/1507.5</f>
        <v>13.771807628524046</v>
      </c>
      <c r="G47" s="266">
        <f>9134/1507.5</f>
        <v>6.059038142620232</v>
      </c>
      <c r="H47" s="266">
        <f>20800/1507.5</f>
        <v>13.797678275290215</v>
      </c>
      <c r="I47" s="266">
        <v>0</v>
      </c>
      <c r="J47" s="266">
        <f>6996/1507.5</f>
        <v>4.640796019900497</v>
      </c>
      <c r="K47" s="266">
        <f>533248/1507.5</f>
        <v>353.73001658374795</v>
      </c>
      <c r="L47" s="266">
        <f>464123/1507.5</f>
        <v>307.8759535655058</v>
      </c>
      <c r="M47" s="266">
        <v>0</v>
      </c>
      <c r="N47" s="266">
        <f>1053/1507.5</f>
        <v>0.6985074626865672</v>
      </c>
      <c r="O47" s="266">
        <v>0</v>
      </c>
      <c r="P47" s="203">
        <f t="shared" si="0"/>
        <v>821.966832504146</v>
      </c>
    </row>
    <row r="48" spans="1:16" s="9" customFormat="1" ht="30" customHeight="1" thickBot="1">
      <c r="A48" s="564"/>
      <c r="B48" s="572"/>
      <c r="C48" s="276" t="s">
        <v>299</v>
      </c>
      <c r="D48" s="268">
        <f>438000/1507.5</f>
        <v>290.547263681592</v>
      </c>
      <c r="E48" s="268">
        <f>634000/1507.5</f>
        <v>420.56384742951906</v>
      </c>
      <c r="F48" s="268">
        <f>388148/1507.5</f>
        <v>257.47794361525706</v>
      </c>
      <c r="G48" s="268">
        <f>7283/1507.5</f>
        <v>4.831177446102819</v>
      </c>
      <c r="H48" s="268">
        <f>210750/1507.5</f>
        <v>139.80099502487562</v>
      </c>
      <c r="I48" s="268">
        <f>19270/1507.5</f>
        <v>12.782752902155888</v>
      </c>
      <c r="J48" s="268">
        <f>66688/1507.5</f>
        <v>44.23747927031509</v>
      </c>
      <c r="K48" s="268">
        <f>12345/1507.5</f>
        <v>8.189054726368159</v>
      </c>
      <c r="L48" s="268">
        <f>166673/1507.5</f>
        <v>110.5625207296849</v>
      </c>
      <c r="M48" s="268">
        <v>0</v>
      </c>
      <c r="N48" s="268">
        <f>165331/1507.5</f>
        <v>109.67230514096185</v>
      </c>
      <c r="O48" s="268">
        <f>2244/1507.5</f>
        <v>1.4885572139303482</v>
      </c>
      <c r="P48" s="205">
        <f t="shared" si="0"/>
        <v>1400.153897180763</v>
      </c>
    </row>
    <row r="49" spans="1:16" ht="30" customHeight="1" thickBot="1">
      <c r="A49" s="565"/>
      <c r="B49" s="559"/>
      <c r="C49" s="281" t="s">
        <v>193</v>
      </c>
      <c r="D49" s="286">
        <v>3</v>
      </c>
      <c r="E49" s="286">
        <v>9</v>
      </c>
      <c r="F49" s="286">
        <v>11</v>
      </c>
      <c r="G49" s="286">
        <v>4</v>
      </c>
      <c r="H49" s="286">
        <v>2</v>
      </c>
      <c r="I49" s="286">
        <v>3</v>
      </c>
      <c r="J49" s="286">
        <v>2</v>
      </c>
      <c r="K49" s="286">
        <v>4</v>
      </c>
      <c r="L49" s="286">
        <v>3</v>
      </c>
      <c r="M49" s="294">
        <v>0</v>
      </c>
      <c r="N49" s="294">
        <v>2</v>
      </c>
      <c r="O49" s="294">
        <v>1</v>
      </c>
      <c r="P49" s="415"/>
    </row>
    <row r="50" spans="1:16" ht="30" customHeight="1" thickBot="1">
      <c r="A50" s="511" t="s">
        <v>209</v>
      </c>
      <c r="B50" s="511"/>
      <c r="C50" s="511"/>
      <c r="D50" s="287">
        <f>D7+D8+D10+D11+D12+D13+D14+D15+D16+D17+D18+D20+D19+D21+D22+D23+D24+D25+D26+D27+D28+D29+D38+D39+D40+D41+D42+D43+D45+D46+D47+D48</f>
        <v>77620.5472636816</v>
      </c>
      <c r="E50" s="287">
        <f>E7+E8+E10+E11+E12+E13+E14+E15+E16+E17+E18+E20+E19+E21+E22+E23+E24+E25+E26+E27+E28+E29+E38+E39+E40+E41+E42+E43+E45+E46+E47+E48</f>
        <v>43414.95688225539</v>
      </c>
      <c r="F50" s="287">
        <f aca="true" t="shared" si="1" ref="F50:O50">F7+F8+F10+F11+F12+F13+F14+F15+F16+F17+F18+F20+F19+F21+F22+F23+F24+F25+F26+F27+F28+F29+F38+F39+F40+F41+F42+F43+F45+F46+F47+F48</f>
        <v>49645.249751243784</v>
      </c>
      <c r="G50" s="287">
        <f t="shared" si="1"/>
        <v>75775.89021558872</v>
      </c>
      <c r="H50" s="287">
        <f t="shared" si="1"/>
        <v>275797.5986733001</v>
      </c>
      <c r="I50" s="287">
        <f t="shared" si="1"/>
        <v>167097.78275290216</v>
      </c>
      <c r="J50" s="287">
        <f t="shared" si="1"/>
        <v>171612.87827529022</v>
      </c>
      <c r="K50" s="287">
        <f t="shared" si="1"/>
        <v>130201.91907131011</v>
      </c>
      <c r="L50" s="287">
        <f t="shared" si="1"/>
        <v>479810.4384742952</v>
      </c>
      <c r="M50" s="287">
        <f t="shared" si="1"/>
        <v>129603</v>
      </c>
      <c r="N50" s="287">
        <f t="shared" si="1"/>
        <v>68637.37081260365</v>
      </c>
      <c r="O50" s="287">
        <f t="shared" si="1"/>
        <v>41193.48855721393</v>
      </c>
      <c r="P50" s="196">
        <f t="shared" si="0"/>
        <v>1710411.1207296848</v>
      </c>
    </row>
  </sheetData>
  <sheetProtection/>
  <mergeCells count="12">
    <mergeCell ref="A50:C50"/>
    <mergeCell ref="B7:B9"/>
    <mergeCell ref="B10:B30"/>
    <mergeCell ref="B38:B44"/>
    <mergeCell ref="B45:B49"/>
    <mergeCell ref="D5:P5"/>
    <mergeCell ref="A45:A49"/>
    <mergeCell ref="A32:O32"/>
    <mergeCell ref="D36:P36"/>
    <mergeCell ref="A7:A30"/>
    <mergeCell ref="A38:A44"/>
    <mergeCell ref="A1:O1"/>
  </mergeCells>
  <printOptions horizontalCentered="1"/>
  <pageMargins left="0" right="0" top="0.5" bottom="0.5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R39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4.00390625" style="5" customWidth="1"/>
    <col min="2" max="2" width="5.8515625" style="23" customWidth="1"/>
    <col min="3" max="3" width="28.140625" style="56" customWidth="1"/>
    <col min="4" max="8" width="9.8515625" style="47" customWidth="1"/>
    <col min="9" max="9" width="10.57421875" style="47" bestFit="1" customWidth="1"/>
    <col min="10" max="11" width="8.140625" style="47" bestFit="1" customWidth="1"/>
    <col min="12" max="15" width="7.421875" style="47" customWidth="1"/>
    <col min="16" max="16384" width="9.140625" style="47" customWidth="1"/>
  </cols>
  <sheetData>
    <row r="1" spans="1:15" ht="19.5" customHeight="1">
      <c r="A1" s="514" t="s">
        <v>211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</row>
    <row r="2" spans="1:18" s="5" customFormat="1" ht="12.75">
      <c r="A2" s="14" t="s">
        <v>189</v>
      </c>
      <c r="B2" s="21"/>
      <c r="C2" s="5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3" s="5" customFormat="1" ht="12.75">
      <c r="A3" s="5" t="s">
        <v>393</v>
      </c>
      <c r="C3" s="56"/>
    </row>
    <row r="4" spans="2:18" s="5" customFormat="1" ht="6.75" customHeight="1" thickBot="1">
      <c r="B4" s="21"/>
      <c r="C4" s="5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2:18" s="5" customFormat="1" ht="15" customHeight="1" thickBot="1">
      <c r="B5" s="21"/>
      <c r="C5" s="56"/>
      <c r="D5" s="458">
        <v>2008</v>
      </c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2"/>
      <c r="Q5" s="2"/>
      <c r="R5" s="2"/>
    </row>
    <row r="6" spans="1:18" s="5" customFormat="1" ht="48" thickBot="1">
      <c r="A6" s="11"/>
      <c r="B6" s="17"/>
      <c r="C6" s="275"/>
      <c r="D6" s="67" t="s">
        <v>304</v>
      </c>
      <c r="E6" s="67" t="s">
        <v>305</v>
      </c>
      <c r="F6" s="67" t="s">
        <v>306</v>
      </c>
      <c r="G6" s="67" t="s">
        <v>307</v>
      </c>
      <c r="H6" s="67" t="s">
        <v>308</v>
      </c>
      <c r="I6" s="67" t="s">
        <v>309</v>
      </c>
      <c r="J6" s="67" t="s">
        <v>310</v>
      </c>
      <c r="K6" s="67" t="s">
        <v>311</v>
      </c>
      <c r="L6" s="67" t="s">
        <v>312</v>
      </c>
      <c r="M6" s="67" t="s">
        <v>313</v>
      </c>
      <c r="N6" s="67" t="s">
        <v>314</v>
      </c>
      <c r="O6" s="67" t="s">
        <v>315</v>
      </c>
      <c r="P6" s="2"/>
      <c r="Q6" s="2"/>
      <c r="R6" s="2"/>
    </row>
    <row r="7" spans="1:15" ht="28.5" customHeight="1">
      <c r="A7" s="563" t="s">
        <v>212</v>
      </c>
      <c r="B7" s="557" t="s">
        <v>190</v>
      </c>
      <c r="C7" s="270" t="s">
        <v>191</v>
      </c>
      <c r="D7" s="297">
        <v>2154</v>
      </c>
      <c r="E7" s="297">
        <v>2054</v>
      </c>
      <c r="F7" s="297">
        <v>2200</v>
      </c>
      <c r="G7" s="297">
        <v>2415</v>
      </c>
      <c r="H7" s="297">
        <v>3335</v>
      </c>
      <c r="I7" s="297">
        <v>3717</v>
      </c>
      <c r="J7" s="297">
        <v>3630</v>
      </c>
      <c r="K7" s="297">
        <v>2911</v>
      </c>
      <c r="L7" s="297">
        <v>2873</v>
      </c>
      <c r="M7" s="297">
        <v>2273</v>
      </c>
      <c r="N7" s="297">
        <v>1746</v>
      </c>
      <c r="O7" s="297">
        <v>1654</v>
      </c>
    </row>
    <row r="8" spans="1:15" s="4" customFormat="1" ht="28.5" customHeight="1" thickBot="1">
      <c r="A8" s="564"/>
      <c r="B8" s="574"/>
      <c r="C8" s="269" t="s">
        <v>192</v>
      </c>
      <c r="D8" s="302">
        <v>1398</v>
      </c>
      <c r="E8" s="302">
        <v>1357</v>
      </c>
      <c r="F8" s="302">
        <v>1429</v>
      </c>
      <c r="G8" s="302">
        <v>1567</v>
      </c>
      <c r="H8" s="302">
        <v>2158</v>
      </c>
      <c r="I8" s="302">
        <v>2423</v>
      </c>
      <c r="J8" s="302">
        <v>2362</v>
      </c>
      <c r="K8" s="302">
        <v>1875</v>
      </c>
      <c r="L8" s="302">
        <v>1842</v>
      </c>
      <c r="M8" s="302">
        <v>1472</v>
      </c>
      <c r="N8" s="302">
        <v>1126</v>
      </c>
      <c r="O8" s="302">
        <v>1085</v>
      </c>
    </row>
    <row r="9" spans="1:15" s="4" customFormat="1" ht="11.25" customHeight="1">
      <c r="A9" s="564"/>
      <c r="B9" s="578" t="s">
        <v>427</v>
      </c>
      <c r="C9" s="272" t="s">
        <v>1</v>
      </c>
      <c r="D9" s="297">
        <v>407</v>
      </c>
      <c r="E9" s="297">
        <v>407</v>
      </c>
      <c r="F9" s="297">
        <v>382</v>
      </c>
      <c r="G9" s="297">
        <v>382</v>
      </c>
      <c r="H9" s="297">
        <v>382</v>
      </c>
      <c r="I9" s="297">
        <v>382</v>
      </c>
      <c r="J9" s="297">
        <v>382</v>
      </c>
      <c r="K9" s="297">
        <v>382</v>
      </c>
      <c r="L9" s="297">
        <v>382</v>
      </c>
      <c r="M9" s="297">
        <v>77</v>
      </c>
      <c r="N9" s="297">
        <v>97</v>
      </c>
      <c r="O9" s="297">
        <v>97</v>
      </c>
    </row>
    <row r="10" spans="1:15" s="4" customFormat="1" ht="11.25" customHeight="1">
      <c r="A10" s="564"/>
      <c r="B10" s="579"/>
      <c r="C10" s="274" t="s">
        <v>2</v>
      </c>
      <c r="D10" s="298">
        <v>2303</v>
      </c>
      <c r="E10" s="298">
        <v>2303</v>
      </c>
      <c r="F10" s="298">
        <v>2724</v>
      </c>
      <c r="G10" s="298">
        <v>2964</v>
      </c>
      <c r="H10" s="298">
        <v>3126</v>
      </c>
      <c r="I10" s="298">
        <v>3093</v>
      </c>
      <c r="J10" s="298">
        <v>3091</v>
      </c>
      <c r="K10" s="298">
        <v>2951</v>
      </c>
      <c r="L10" s="298">
        <v>2898</v>
      </c>
      <c r="M10" s="298">
        <v>2393</v>
      </c>
      <c r="N10" s="298">
        <v>1891</v>
      </c>
      <c r="O10" s="298">
        <v>1778</v>
      </c>
    </row>
    <row r="11" spans="1:15" s="4" customFormat="1" ht="11.25" customHeight="1">
      <c r="A11" s="564"/>
      <c r="B11" s="579"/>
      <c r="C11" s="274" t="s">
        <v>3</v>
      </c>
      <c r="D11" s="298">
        <v>728</v>
      </c>
      <c r="E11" s="298">
        <v>708</v>
      </c>
      <c r="F11" s="298">
        <v>867</v>
      </c>
      <c r="G11" s="298">
        <v>960</v>
      </c>
      <c r="H11" s="298">
        <v>982</v>
      </c>
      <c r="I11" s="298">
        <v>983</v>
      </c>
      <c r="J11" s="298">
        <v>924</v>
      </c>
      <c r="K11" s="298">
        <v>870</v>
      </c>
      <c r="L11" s="298">
        <v>817</v>
      </c>
      <c r="M11" s="298">
        <v>678</v>
      </c>
      <c r="N11" s="298">
        <v>552</v>
      </c>
      <c r="O11" s="298">
        <v>525</v>
      </c>
    </row>
    <row r="12" spans="1:15" s="4" customFormat="1" ht="11.25" customHeight="1">
      <c r="A12" s="564"/>
      <c r="B12" s="579"/>
      <c r="C12" s="274" t="s">
        <v>4</v>
      </c>
      <c r="D12" s="298">
        <v>105</v>
      </c>
      <c r="E12" s="298">
        <v>109</v>
      </c>
      <c r="F12" s="298">
        <v>109</v>
      </c>
      <c r="G12" s="298">
        <v>109</v>
      </c>
      <c r="H12" s="298">
        <v>100</v>
      </c>
      <c r="I12" s="298">
        <v>100</v>
      </c>
      <c r="J12" s="298">
        <v>101</v>
      </c>
      <c r="K12" s="298">
        <v>100</v>
      </c>
      <c r="L12" s="298">
        <v>100</v>
      </c>
      <c r="M12" s="298">
        <v>100</v>
      </c>
      <c r="N12" s="298">
        <v>103</v>
      </c>
      <c r="O12" s="298">
        <v>101</v>
      </c>
    </row>
    <row r="13" spans="1:15" s="4" customFormat="1" ht="11.25" customHeight="1">
      <c r="A13" s="564"/>
      <c r="B13" s="579"/>
      <c r="C13" s="274" t="s">
        <v>5</v>
      </c>
      <c r="D13" s="298">
        <v>127</v>
      </c>
      <c r="E13" s="298">
        <v>132</v>
      </c>
      <c r="F13" s="298">
        <v>132</v>
      </c>
      <c r="G13" s="298">
        <v>132</v>
      </c>
      <c r="H13" s="298">
        <v>125</v>
      </c>
      <c r="I13" s="298">
        <v>126</v>
      </c>
      <c r="J13" s="298">
        <v>125</v>
      </c>
      <c r="K13" s="298">
        <v>125</v>
      </c>
      <c r="L13" s="298">
        <v>125</v>
      </c>
      <c r="M13" s="298">
        <v>126</v>
      </c>
      <c r="N13" s="298">
        <v>126</v>
      </c>
      <c r="O13" s="298">
        <v>125</v>
      </c>
    </row>
    <row r="14" spans="1:15" s="4" customFormat="1" ht="11.25" customHeight="1">
      <c r="A14" s="564"/>
      <c r="B14" s="579"/>
      <c r="C14" s="274" t="s">
        <v>6</v>
      </c>
      <c r="D14" s="298">
        <v>164</v>
      </c>
      <c r="E14" s="298">
        <v>174</v>
      </c>
      <c r="F14" s="298">
        <v>179</v>
      </c>
      <c r="G14" s="298">
        <v>190</v>
      </c>
      <c r="H14" s="298">
        <v>206</v>
      </c>
      <c r="I14" s="298">
        <v>210</v>
      </c>
      <c r="J14" s="298">
        <v>217</v>
      </c>
      <c r="K14" s="298">
        <v>227</v>
      </c>
      <c r="L14" s="298">
        <v>229</v>
      </c>
      <c r="M14" s="298">
        <v>238</v>
      </c>
      <c r="N14" s="298">
        <v>248</v>
      </c>
      <c r="O14" s="298">
        <v>247</v>
      </c>
    </row>
    <row r="15" spans="1:15" s="4" customFormat="1" ht="11.25" customHeight="1">
      <c r="A15" s="564"/>
      <c r="B15" s="579"/>
      <c r="C15" s="274" t="s">
        <v>7</v>
      </c>
      <c r="D15" s="298">
        <v>35</v>
      </c>
      <c r="E15" s="298">
        <v>35</v>
      </c>
      <c r="F15" s="298">
        <v>35</v>
      </c>
      <c r="G15" s="298">
        <v>35</v>
      </c>
      <c r="H15" s="298">
        <v>35</v>
      </c>
      <c r="I15" s="298">
        <v>35</v>
      </c>
      <c r="J15" s="298">
        <v>36</v>
      </c>
      <c r="K15" s="298">
        <v>36</v>
      </c>
      <c r="L15" s="298">
        <v>36</v>
      </c>
      <c r="M15" s="298">
        <v>36</v>
      </c>
      <c r="N15" s="298">
        <v>36</v>
      </c>
      <c r="O15" s="298">
        <v>36</v>
      </c>
    </row>
    <row r="16" spans="1:15" s="4" customFormat="1" ht="11.25" customHeight="1">
      <c r="A16" s="564"/>
      <c r="B16" s="579"/>
      <c r="C16" s="274" t="s">
        <v>8</v>
      </c>
      <c r="D16" s="298">
        <v>73</v>
      </c>
      <c r="E16" s="298">
        <v>73</v>
      </c>
      <c r="F16" s="298">
        <v>73</v>
      </c>
      <c r="G16" s="298">
        <v>73</v>
      </c>
      <c r="H16" s="298">
        <v>73</v>
      </c>
      <c r="I16" s="298">
        <v>73</v>
      </c>
      <c r="J16" s="298">
        <v>74</v>
      </c>
      <c r="K16" s="298">
        <v>73</v>
      </c>
      <c r="L16" s="298">
        <v>74</v>
      </c>
      <c r="M16" s="298">
        <v>74</v>
      </c>
      <c r="N16" s="298">
        <v>74</v>
      </c>
      <c r="O16" s="298">
        <v>74</v>
      </c>
    </row>
    <row r="17" spans="1:15" s="4" customFormat="1" ht="11.25" customHeight="1">
      <c r="A17" s="564"/>
      <c r="B17" s="579"/>
      <c r="C17" s="274" t="s">
        <v>9</v>
      </c>
      <c r="D17" s="298">
        <v>100</v>
      </c>
      <c r="E17" s="298">
        <v>100</v>
      </c>
      <c r="F17" s="298">
        <v>101</v>
      </c>
      <c r="G17" s="298">
        <v>100</v>
      </c>
      <c r="H17" s="298">
        <v>100</v>
      </c>
      <c r="I17" s="298">
        <v>100</v>
      </c>
      <c r="J17" s="298">
        <v>100</v>
      </c>
      <c r="K17" s="298">
        <v>101</v>
      </c>
      <c r="L17" s="298">
        <v>101</v>
      </c>
      <c r="M17" s="298">
        <v>101</v>
      </c>
      <c r="N17" s="298">
        <v>101</v>
      </c>
      <c r="O17" s="298">
        <v>101</v>
      </c>
    </row>
    <row r="18" spans="1:15" s="4" customFormat="1" ht="11.25" customHeight="1">
      <c r="A18" s="564"/>
      <c r="B18" s="579"/>
      <c r="C18" s="274" t="s">
        <v>10</v>
      </c>
      <c r="D18" s="298">
        <v>451</v>
      </c>
      <c r="E18" s="298">
        <v>459</v>
      </c>
      <c r="F18" s="298">
        <v>455</v>
      </c>
      <c r="G18" s="298">
        <v>532</v>
      </c>
      <c r="H18" s="298">
        <v>588</v>
      </c>
      <c r="I18" s="298">
        <v>601</v>
      </c>
      <c r="J18" s="298">
        <v>586</v>
      </c>
      <c r="K18" s="298">
        <v>504</v>
      </c>
      <c r="L18" s="298">
        <v>484</v>
      </c>
      <c r="M18" s="298">
        <v>402</v>
      </c>
      <c r="N18" s="298">
        <v>356</v>
      </c>
      <c r="O18" s="298">
        <v>347</v>
      </c>
    </row>
    <row r="19" spans="1:15" s="4" customFormat="1" ht="11.25" customHeight="1">
      <c r="A19" s="564"/>
      <c r="B19" s="579"/>
      <c r="C19" s="274" t="s">
        <v>11</v>
      </c>
      <c r="D19" s="298">
        <v>104</v>
      </c>
      <c r="E19" s="298">
        <v>103</v>
      </c>
      <c r="F19" s="298">
        <v>104</v>
      </c>
      <c r="G19" s="298">
        <v>104</v>
      </c>
      <c r="H19" s="298">
        <v>102</v>
      </c>
      <c r="I19" s="298">
        <v>102</v>
      </c>
      <c r="J19" s="298">
        <v>102</v>
      </c>
      <c r="K19" s="298">
        <v>102</v>
      </c>
      <c r="L19" s="298">
        <v>104</v>
      </c>
      <c r="M19" s="298">
        <v>103</v>
      </c>
      <c r="N19" s="298">
        <v>104</v>
      </c>
      <c r="O19" s="298">
        <v>104</v>
      </c>
    </row>
    <row r="20" spans="1:15" s="4" customFormat="1" ht="11.25" customHeight="1">
      <c r="A20" s="564"/>
      <c r="B20" s="579"/>
      <c r="C20" s="274" t="s">
        <v>296</v>
      </c>
      <c r="D20" s="298">
        <v>0</v>
      </c>
      <c r="E20" s="298">
        <v>0</v>
      </c>
      <c r="F20" s="298">
        <v>0</v>
      </c>
      <c r="G20" s="298">
        <v>0</v>
      </c>
      <c r="H20" s="298">
        <v>0</v>
      </c>
      <c r="I20" s="298">
        <v>0</v>
      </c>
      <c r="J20" s="298">
        <v>0</v>
      </c>
      <c r="K20" s="298">
        <v>0</v>
      </c>
      <c r="L20" s="298">
        <v>0</v>
      </c>
      <c r="M20" s="298">
        <v>200</v>
      </c>
      <c r="N20" s="298">
        <v>200</v>
      </c>
      <c r="O20" s="298">
        <v>196</v>
      </c>
    </row>
    <row r="21" spans="1:15" s="4" customFormat="1" ht="11.25" customHeight="1">
      <c r="A21" s="564"/>
      <c r="B21" s="579"/>
      <c r="C21" s="274" t="s">
        <v>12</v>
      </c>
      <c r="D21" s="298">
        <v>472</v>
      </c>
      <c r="E21" s="298">
        <v>464</v>
      </c>
      <c r="F21" s="298">
        <v>470</v>
      </c>
      <c r="G21" s="298">
        <v>523</v>
      </c>
      <c r="H21" s="298">
        <v>573</v>
      </c>
      <c r="I21" s="298">
        <v>573</v>
      </c>
      <c r="J21" s="298">
        <v>550</v>
      </c>
      <c r="K21" s="298">
        <v>482</v>
      </c>
      <c r="L21" s="298">
        <v>484</v>
      </c>
      <c r="M21" s="298">
        <v>391</v>
      </c>
      <c r="N21" s="298">
        <v>346</v>
      </c>
      <c r="O21" s="298">
        <v>338</v>
      </c>
    </row>
    <row r="22" spans="1:15" s="4" customFormat="1" ht="11.25" customHeight="1">
      <c r="A22" s="564"/>
      <c r="B22" s="579"/>
      <c r="C22" s="274" t="s">
        <v>13</v>
      </c>
      <c r="D22" s="298">
        <v>22</v>
      </c>
      <c r="E22" s="298">
        <v>22</v>
      </c>
      <c r="F22" s="298">
        <v>22</v>
      </c>
      <c r="G22" s="298">
        <v>22</v>
      </c>
      <c r="H22" s="298">
        <v>22</v>
      </c>
      <c r="I22" s="298">
        <v>23</v>
      </c>
      <c r="J22" s="298">
        <v>25</v>
      </c>
      <c r="K22" s="298">
        <v>25</v>
      </c>
      <c r="L22" s="298">
        <v>27</v>
      </c>
      <c r="M22" s="298">
        <v>26</v>
      </c>
      <c r="N22" s="298">
        <v>26</v>
      </c>
      <c r="O22" s="298">
        <v>26</v>
      </c>
    </row>
    <row r="23" spans="1:15" s="4" customFormat="1" ht="11.25" customHeight="1">
      <c r="A23" s="564"/>
      <c r="B23" s="579"/>
      <c r="C23" s="274" t="s">
        <v>14</v>
      </c>
      <c r="D23" s="298">
        <v>20</v>
      </c>
      <c r="E23" s="298">
        <v>20</v>
      </c>
      <c r="F23" s="298">
        <v>20</v>
      </c>
      <c r="G23" s="298">
        <v>20</v>
      </c>
      <c r="H23" s="298">
        <v>20</v>
      </c>
      <c r="I23" s="298">
        <v>20</v>
      </c>
      <c r="J23" s="298">
        <v>20</v>
      </c>
      <c r="K23" s="298">
        <v>20</v>
      </c>
      <c r="L23" s="298">
        <v>20</v>
      </c>
      <c r="M23" s="298">
        <v>20</v>
      </c>
      <c r="N23" s="298">
        <v>20</v>
      </c>
      <c r="O23" s="298">
        <v>20</v>
      </c>
    </row>
    <row r="24" spans="1:15" ht="11.25" customHeight="1">
      <c r="A24" s="564"/>
      <c r="B24" s="579"/>
      <c r="C24" s="274" t="s">
        <v>15</v>
      </c>
      <c r="D24" s="298">
        <v>654</v>
      </c>
      <c r="E24" s="298">
        <v>650</v>
      </c>
      <c r="F24" s="298">
        <v>680</v>
      </c>
      <c r="G24" s="298">
        <v>715</v>
      </c>
      <c r="H24" s="298">
        <v>750</v>
      </c>
      <c r="I24" s="298">
        <v>763</v>
      </c>
      <c r="J24" s="298">
        <v>753</v>
      </c>
      <c r="K24" s="298">
        <v>741</v>
      </c>
      <c r="L24" s="298">
        <v>672</v>
      </c>
      <c r="M24" s="298">
        <v>576</v>
      </c>
      <c r="N24" s="298">
        <v>516</v>
      </c>
      <c r="O24" s="298">
        <v>538</v>
      </c>
    </row>
    <row r="25" spans="1:15" ht="11.25" customHeight="1">
      <c r="A25" s="564"/>
      <c r="B25" s="579"/>
      <c r="C25" s="274" t="s">
        <v>16</v>
      </c>
      <c r="D25" s="298">
        <v>581</v>
      </c>
      <c r="E25" s="298">
        <v>584</v>
      </c>
      <c r="F25" s="298">
        <v>573</v>
      </c>
      <c r="G25" s="298">
        <v>642</v>
      </c>
      <c r="H25" s="298">
        <v>624</v>
      </c>
      <c r="I25" s="298">
        <v>2139</v>
      </c>
      <c r="J25" s="298">
        <v>2139</v>
      </c>
      <c r="K25" s="298">
        <v>2064</v>
      </c>
      <c r="L25" s="298">
        <v>1935</v>
      </c>
      <c r="M25" s="298">
        <v>1795</v>
      </c>
      <c r="N25" s="298">
        <v>1613</v>
      </c>
      <c r="O25" s="298">
        <v>1607</v>
      </c>
    </row>
    <row r="26" spans="1:15" ht="11.25" customHeight="1">
      <c r="A26" s="564"/>
      <c r="B26" s="579"/>
      <c r="C26" s="274" t="s">
        <v>17</v>
      </c>
      <c r="D26" s="298">
        <v>77</v>
      </c>
      <c r="E26" s="298">
        <v>77</v>
      </c>
      <c r="F26" s="298">
        <v>77</v>
      </c>
      <c r="G26" s="298">
        <v>77</v>
      </c>
      <c r="H26" s="298">
        <v>77</v>
      </c>
      <c r="I26" s="298">
        <v>0</v>
      </c>
      <c r="J26" s="298">
        <v>0</v>
      </c>
      <c r="K26" s="298">
        <v>0</v>
      </c>
      <c r="L26" s="298">
        <v>0</v>
      </c>
      <c r="M26" s="298">
        <v>0</v>
      </c>
      <c r="N26" s="298">
        <v>0</v>
      </c>
      <c r="O26" s="298">
        <v>0</v>
      </c>
    </row>
    <row r="27" spans="1:15" ht="11.25" customHeight="1">
      <c r="A27" s="564"/>
      <c r="B27" s="579"/>
      <c r="C27" s="274" t="s">
        <v>18</v>
      </c>
      <c r="D27" s="298">
        <v>76</v>
      </c>
      <c r="E27" s="298">
        <v>76</v>
      </c>
      <c r="F27" s="298">
        <v>76</v>
      </c>
      <c r="G27" s="298">
        <v>76</v>
      </c>
      <c r="H27" s="298">
        <v>76</v>
      </c>
      <c r="I27" s="298">
        <v>76</v>
      </c>
      <c r="J27" s="298">
        <v>76</v>
      </c>
      <c r="K27" s="298">
        <v>76</v>
      </c>
      <c r="L27" s="298">
        <v>76</v>
      </c>
      <c r="M27" s="298">
        <v>76</v>
      </c>
      <c r="N27" s="298">
        <v>76</v>
      </c>
      <c r="O27" s="298">
        <v>76</v>
      </c>
    </row>
    <row r="28" spans="1:15" ht="11.25" customHeight="1" thickBot="1">
      <c r="A28" s="564"/>
      <c r="B28" s="580"/>
      <c r="C28" s="276" t="s">
        <v>19</v>
      </c>
      <c r="D28" s="302">
        <v>101</v>
      </c>
      <c r="E28" s="302">
        <v>101</v>
      </c>
      <c r="F28" s="302">
        <v>101</v>
      </c>
      <c r="G28" s="302">
        <v>101</v>
      </c>
      <c r="H28" s="302">
        <v>101</v>
      </c>
      <c r="I28" s="302">
        <v>101</v>
      </c>
      <c r="J28" s="302">
        <v>102</v>
      </c>
      <c r="K28" s="302">
        <v>102</v>
      </c>
      <c r="L28" s="302">
        <v>102</v>
      </c>
      <c r="M28" s="302">
        <v>102</v>
      </c>
      <c r="N28" s="302">
        <v>102</v>
      </c>
      <c r="O28" s="302">
        <v>102</v>
      </c>
    </row>
    <row r="29" spans="1:15" ht="11.25" customHeight="1">
      <c r="A29" s="564"/>
      <c r="B29" s="575" t="s">
        <v>205</v>
      </c>
      <c r="C29" s="272" t="s">
        <v>20</v>
      </c>
      <c r="D29" s="297">
        <v>14</v>
      </c>
      <c r="E29" s="297">
        <v>14</v>
      </c>
      <c r="F29" s="297">
        <v>16</v>
      </c>
      <c r="G29" s="297">
        <v>17</v>
      </c>
      <c r="H29" s="297">
        <v>17</v>
      </c>
      <c r="I29" s="297">
        <v>17</v>
      </c>
      <c r="J29" s="297">
        <v>17</v>
      </c>
      <c r="K29" s="297">
        <v>17</v>
      </c>
      <c r="L29" s="297">
        <v>19</v>
      </c>
      <c r="M29" s="297">
        <v>21</v>
      </c>
      <c r="N29" s="297">
        <v>20</v>
      </c>
      <c r="O29" s="297">
        <v>23</v>
      </c>
    </row>
    <row r="30" spans="1:15" ht="11.25" customHeight="1">
      <c r="A30" s="564"/>
      <c r="B30" s="576"/>
      <c r="C30" s="274" t="s">
        <v>288</v>
      </c>
      <c r="D30" s="298">
        <v>390</v>
      </c>
      <c r="E30" s="298">
        <v>379</v>
      </c>
      <c r="F30" s="298">
        <v>385</v>
      </c>
      <c r="G30" s="298">
        <v>410</v>
      </c>
      <c r="H30" s="298">
        <v>432</v>
      </c>
      <c r="I30" s="298">
        <v>422</v>
      </c>
      <c r="J30" s="298">
        <v>414</v>
      </c>
      <c r="K30" s="298">
        <v>391</v>
      </c>
      <c r="L30" s="298">
        <v>351</v>
      </c>
      <c r="M30" s="298">
        <v>290</v>
      </c>
      <c r="N30" s="298">
        <v>288</v>
      </c>
      <c r="O30" s="298">
        <v>311</v>
      </c>
    </row>
    <row r="31" spans="1:15" ht="11.25" customHeight="1">
      <c r="A31" s="564"/>
      <c r="B31" s="576"/>
      <c r="C31" s="274" t="s">
        <v>213</v>
      </c>
      <c r="D31" s="298">
        <v>11</v>
      </c>
      <c r="E31" s="298">
        <v>11</v>
      </c>
      <c r="F31" s="298">
        <v>11</v>
      </c>
      <c r="G31" s="298">
        <v>11</v>
      </c>
      <c r="H31" s="298">
        <v>12</v>
      </c>
      <c r="I31" s="298">
        <v>12</v>
      </c>
      <c r="J31" s="298">
        <v>13</v>
      </c>
      <c r="K31" s="298">
        <v>13</v>
      </c>
      <c r="L31" s="298">
        <v>11</v>
      </c>
      <c r="M31" s="298">
        <v>12</v>
      </c>
      <c r="N31" s="298">
        <v>12</v>
      </c>
      <c r="O31" s="298">
        <v>13</v>
      </c>
    </row>
    <row r="32" spans="1:15" ht="11.25" customHeight="1">
      <c r="A32" s="564"/>
      <c r="B32" s="576"/>
      <c r="C32" s="274" t="s">
        <v>197</v>
      </c>
      <c r="D32" s="298">
        <v>4</v>
      </c>
      <c r="E32" s="298">
        <v>4</v>
      </c>
      <c r="F32" s="298">
        <v>4</v>
      </c>
      <c r="G32" s="298">
        <v>4</v>
      </c>
      <c r="H32" s="298">
        <v>4</v>
      </c>
      <c r="I32" s="298">
        <v>6</v>
      </c>
      <c r="J32" s="298">
        <v>6</v>
      </c>
      <c r="K32" s="298">
        <v>6</v>
      </c>
      <c r="L32" s="298">
        <v>6</v>
      </c>
      <c r="M32" s="298">
        <v>6</v>
      </c>
      <c r="N32" s="298">
        <v>6</v>
      </c>
      <c r="O32" s="298">
        <v>6</v>
      </c>
    </row>
    <row r="33" spans="1:15" ht="11.25" customHeight="1">
      <c r="A33" s="564"/>
      <c r="B33" s="576"/>
      <c r="C33" s="274" t="s">
        <v>198</v>
      </c>
      <c r="D33" s="298">
        <v>2</v>
      </c>
      <c r="E33" s="298">
        <v>2</v>
      </c>
      <c r="F33" s="298">
        <v>2</v>
      </c>
      <c r="G33" s="298">
        <v>2</v>
      </c>
      <c r="H33" s="298">
        <v>2</v>
      </c>
      <c r="I33" s="298">
        <v>2</v>
      </c>
      <c r="J33" s="298">
        <v>2</v>
      </c>
      <c r="K33" s="298">
        <v>2</v>
      </c>
      <c r="L33" s="298">
        <v>2</v>
      </c>
      <c r="M33" s="298">
        <v>2</v>
      </c>
      <c r="N33" s="298">
        <v>2</v>
      </c>
      <c r="O33" s="298">
        <v>0.5</v>
      </c>
    </row>
    <row r="34" spans="1:15" ht="11.25" customHeight="1" thickBot="1">
      <c r="A34" s="564"/>
      <c r="B34" s="577"/>
      <c r="C34" s="276" t="s">
        <v>210</v>
      </c>
      <c r="D34" s="300">
        <v>15</v>
      </c>
      <c r="E34" s="300">
        <v>15</v>
      </c>
      <c r="F34" s="300">
        <v>15</v>
      </c>
      <c r="G34" s="300">
        <v>15</v>
      </c>
      <c r="H34" s="300">
        <v>15</v>
      </c>
      <c r="I34" s="300">
        <v>15</v>
      </c>
      <c r="J34" s="300">
        <v>15</v>
      </c>
      <c r="K34" s="300">
        <v>15</v>
      </c>
      <c r="L34" s="300">
        <v>15</v>
      </c>
      <c r="M34" s="300">
        <v>15</v>
      </c>
      <c r="N34" s="300">
        <v>15</v>
      </c>
      <c r="O34" s="300">
        <v>15</v>
      </c>
    </row>
    <row r="35" spans="1:15" ht="11.25" customHeight="1">
      <c r="A35" s="564"/>
      <c r="B35" s="572" t="s">
        <v>208</v>
      </c>
      <c r="C35" s="301" t="s">
        <v>293</v>
      </c>
      <c r="D35" s="303">
        <v>34</v>
      </c>
      <c r="E35" s="303">
        <v>35</v>
      </c>
      <c r="F35" s="303">
        <v>35</v>
      </c>
      <c r="G35" s="303">
        <v>35</v>
      </c>
      <c r="H35" s="303">
        <v>35</v>
      </c>
      <c r="I35" s="303">
        <v>35</v>
      </c>
      <c r="J35" s="303">
        <v>0</v>
      </c>
      <c r="K35" s="303">
        <v>0</v>
      </c>
      <c r="L35" s="303">
        <v>0</v>
      </c>
      <c r="M35" s="303">
        <v>0</v>
      </c>
      <c r="N35" s="303">
        <v>0</v>
      </c>
      <c r="O35" s="303">
        <v>0</v>
      </c>
    </row>
    <row r="36" spans="1:15" ht="11.25" customHeight="1">
      <c r="A36" s="564"/>
      <c r="B36" s="572"/>
      <c r="C36" s="274" t="s">
        <v>294</v>
      </c>
      <c r="D36" s="299">
        <v>33</v>
      </c>
      <c r="E36" s="299">
        <v>33</v>
      </c>
      <c r="F36" s="299">
        <v>33</v>
      </c>
      <c r="G36" s="299">
        <v>33</v>
      </c>
      <c r="H36" s="299">
        <v>33</v>
      </c>
      <c r="I36" s="299">
        <v>34</v>
      </c>
      <c r="J36" s="299">
        <v>30</v>
      </c>
      <c r="K36" s="299">
        <v>33</v>
      </c>
      <c r="L36" s="299">
        <v>33</v>
      </c>
      <c r="M36" s="299">
        <v>33</v>
      </c>
      <c r="N36" s="299">
        <v>33</v>
      </c>
      <c r="O36" s="299">
        <v>33</v>
      </c>
    </row>
    <row r="37" spans="1:15" ht="11.25" customHeight="1">
      <c r="A37" s="564"/>
      <c r="B37" s="572"/>
      <c r="C37" s="274" t="s">
        <v>295</v>
      </c>
      <c r="D37" s="299">
        <f>28600/1507.5</f>
        <v>18.971807628524047</v>
      </c>
      <c r="E37" s="299">
        <f>27967/1507.5</f>
        <v>18.55190713101161</v>
      </c>
      <c r="F37" s="299">
        <f>28545/1507.5</f>
        <v>18.935323383084576</v>
      </c>
      <c r="G37" s="299">
        <f>28545/1507.5</f>
        <v>18.935323383084576</v>
      </c>
      <c r="H37" s="299">
        <f>28600/1507.5</f>
        <v>18.971807628524047</v>
      </c>
      <c r="I37" s="299">
        <f>28600/1507.5</f>
        <v>18.971807628524047</v>
      </c>
      <c r="J37" s="299">
        <f>29150/1507.5</f>
        <v>19.33665008291874</v>
      </c>
      <c r="K37" s="299">
        <f>28407/1507.5</f>
        <v>18.843781094527362</v>
      </c>
      <c r="L37" s="299">
        <f>28572/1507.5</f>
        <v>18.95323383084577</v>
      </c>
      <c r="M37" s="299">
        <f>28573/1507.5</f>
        <v>18.95389718076285</v>
      </c>
      <c r="N37" s="299">
        <f>28958/1507.5</f>
        <v>19.20928689883914</v>
      </c>
      <c r="O37" s="299">
        <v>0</v>
      </c>
    </row>
    <row r="38" spans="1:15" ht="11.25" customHeight="1" thickBot="1">
      <c r="A38" s="564"/>
      <c r="B38" s="572"/>
      <c r="C38" s="276" t="s">
        <v>297</v>
      </c>
      <c r="D38" s="300">
        <f>44895/1507.5</f>
        <v>29.781094527363184</v>
      </c>
      <c r="E38" s="300">
        <f>42025/1507.5</f>
        <v>27.877280265339966</v>
      </c>
      <c r="F38" s="300">
        <f>42230/1507.5</f>
        <v>28.013266998341624</v>
      </c>
      <c r="G38" s="300">
        <f>42640/1507.5</f>
        <v>28.28524046434494</v>
      </c>
      <c r="H38" s="300">
        <f>43255/1507.5</f>
        <v>28.693200663349916</v>
      </c>
      <c r="I38" s="300">
        <f>43173/1507.5</f>
        <v>28.638805970149253</v>
      </c>
      <c r="J38" s="300">
        <f>43747/1503.5</f>
        <v>29.096774193548388</v>
      </c>
      <c r="K38" s="300">
        <f>44485/1507.5</f>
        <v>29.509121061359867</v>
      </c>
      <c r="L38" s="300">
        <f>44813/1507.5</f>
        <v>29.72669983416252</v>
      </c>
      <c r="M38" s="300">
        <f>44813/1507.5</f>
        <v>29.72669983416252</v>
      </c>
      <c r="N38" s="300">
        <f>45715/1507.5</f>
        <v>30.325041459369817</v>
      </c>
      <c r="O38" s="300">
        <f>46002/1507.5</f>
        <v>30.51542288557214</v>
      </c>
    </row>
    <row r="39" spans="1:15" ht="11.25" customHeight="1" thickBot="1">
      <c r="A39" s="511" t="s">
        <v>212</v>
      </c>
      <c r="B39" s="573"/>
      <c r="C39" s="573"/>
      <c r="D39" s="304">
        <f>SUM(D7:D38)</f>
        <v>10703.752902155888</v>
      </c>
      <c r="E39" s="304">
        <f aca="true" t="shared" si="0" ref="E39:O39">SUM(E7:E38)</f>
        <v>10547.429187396352</v>
      </c>
      <c r="F39" s="304">
        <f t="shared" si="0"/>
        <v>11356.948590381426</v>
      </c>
      <c r="G39" s="304">
        <f t="shared" si="0"/>
        <v>12313.22056384743</v>
      </c>
      <c r="H39" s="304">
        <f t="shared" si="0"/>
        <v>14152.665008291875</v>
      </c>
      <c r="I39" s="304">
        <f>SUM(I7:I38)</f>
        <v>16230.610613598674</v>
      </c>
      <c r="J39" s="304">
        <f>SUM(J7:J38)</f>
        <v>15940.433424276467</v>
      </c>
      <c r="K39" s="304">
        <f t="shared" si="0"/>
        <v>14292.352902155886</v>
      </c>
      <c r="L39" s="304">
        <f t="shared" si="0"/>
        <v>13866.679933665007</v>
      </c>
      <c r="M39" s="304">
        <f t="shared" si="0"/>
        <v>11686.680597014925</v>
      </c>
      <c r="N39" s="304">
        <f t="shared" si="0"/>
        <v>9884.534328358208</v>
      </c>
      <c r="O39" s="304">
        <f t="shared" si="0"/>
        <v>9609.015422885572</v>
      </c>
    </row>
  </sheetData>
  <sheetProtection/>
  <mergeCells count="8">
    <mergeCell ref="A1:O1"/>
    <mergeCell ref="A39:C39"/>
    <mergeCell ref="B7:B8"/>
    <mergeCell ref="B29:B34"/>
    <mergeCell ref="B35:B38"/>
    <mergeCell ref="A7:A38"/>
    <mergeCell ref="B9:B28"/>
    <mergeCell ref="D5:O5"/>
  </mergeCells>
  <printOptions horizontalCentered="1"/>
  <pageMargins left="0" right="0" top="0.5" bottom="0.5" header="0" footer="0"/>
  <pageSetup firstPageNumber="7" useFirstPageNumber="1"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K20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.28125" style="47" bestFit="1" customWidth="1"/>
    <col min="2" max="2" width="11.8515625" style="46" customWidth="1"/>
    <col min="3" max="3" width="15.00390625" style="5" customWidth="1"/>
    <col min="4" max="4" width="15.00390625" style="23" customWidth="1"/>
    <col min="5" max="10" width="15.00390625" style="47" customWidth="1"/>
    <col min="11" max="11" width="8.140625" style="47" bestFit="1" customWidth="1"/>
    <col min="12" max="16384" width="9.140625" style="47" customWidth="1"/>
  </cols>
  <sheetData>
    <row r="1" spans="1:9" ht="19.5" customHeight="1">
      <c r="A1" s="514" t="s">
        <v>214</v>
      </c>
      <c r="B1" s="514"/>
      <c r="C1" s="514"/>
      <c r="D1" s="514"/>
      <c r="E1" s="514"/>
      <c r="F1" s="514"/>
      <c r="G1" s="514"/>
      <c r="H1" s="514"/>
      <c r="I1" s="514"/>
    </row>
    <row r="2" spans="1:4" ht="12.75">
      <c r="A2" s="14" t="s">
        <v>189</v>
      </c>
      <c r="B2" s="23"/>
      <c r="C2" s="47"/>
      <c r="D2" s="47"/>
    </row>
    <row r="3" ht="6.75" customHeight="1" thickBot="1"/>
    <row r="4" spans="2:10" s="305" customFormat="1" ht="32.25" thickBot="1">
      <c r="B4" s="307"/>
      <c r="C4" s="148" t="s">
        <v>215</v>
      </c>
      <c r="D4" s="148" t="s">
        <v>216</v>
      </c>
      <c r="E4" s="148" t="s">
        <v>217</v>
      </c>
      <c r="F4" s="148" t="s">
        <v>218</v>
      </c>
      <c r="G4" s="148" t="s">
        <v>219</v>
      </c>
      <c r="H4" s="148" t="s">
        <v>220</v>
      </c>
      <c r="I4" s="148" t="s">
        <v>221</v>
      </c>
      <c r="J4" s="148" t="s">
        <v>222</v>
      </c>
    </row>
    <row r="5" spans="1:10" ht="28.5" customHeight="1">
      <c r="A5" s="584" t="s">
        <v>0</v>
      </c>
      <c r="B5" s="169" t="s">
        <v>304</v>
      </c>
      <c r="C5" s="308">
        <v>4272183</v>
      </c>
      <c r="D5" s="308">
        <v>77621174</v>
      </c>
      <c r="E5" s="308">
        <v>10707.91</v>
      </c>
      <c r="F5" s="308">
        <v>15</v>
      </c>
      <c r="G5" s="308">
        <v>31</v>
      </c>
      <c r="H5" s="308">
        <v>21</v>
      </c>
      <c r="I5" s="308">
        <v>15</v>
      </c>
      <c r="J5" s="309">
        <v>2751</v>
      </c>
    </row>
    <row r="6" spans="1:10" s="4" customFormat="1" ht="28.5" customHeight="1">
      <c r="A6" s="585"/>
      <c r="B6" s="193" t="s">
        <v>305</v>
      </c>
      <c r="C6" s="310">
        <v>2398001</v>
      </c>
      <c r="D6" s="310">
        <v>43415200</v>
      </c>
      <c r="E6" s="310">
        <v>10545.36</v>
      </c>
      <c r="F6" s="310">
        <v>15</v>
      </c>
      <c r="G6" s="310">
        <v>31</v>
      </c>
      <c r="H6" s="310">
        <v>20</v>
      </c>
      <c r="I6" s="310">
        <v>15</v>
      </c>
      <c r="J6" s="311">
        <v>1465</v>
      </c>
    </row>
    <row r="7" spans="1:10" s="4" customFormat="1" ht="28.5" customHeight="1">
      <c r="A7" s="585"/>
      <c r="B7" s="193" t="s">
        <v>306</v>
      </c>
      <c r="C7" s="310">
        <v>2427822</v>
      </c>
      <c r="D7" s="310">
        <v>49644713</v>
      </c>
      <c r="E7" s="310">
        <v>11356.53</v>
      </c>
      <c r="F7" s="310">
        <v>15</v>
      </c>
      <c r="G7" s="310">
        <v>31</v>
      </c>
      <c r="H7" s="310">
        <v>18</v>
      </c>
      <c r="I7" s="310">
        <v>14</v>
      </c>
      <c r="J7" s="311">
        <v>1546</v>
      </c>
    </row>
    <row r="8" spans="1:10" s="4" customFormat="1" ht="28.5" customHeight="1">
      <c r="A8" s="585"/>
      <c r="B8" s="193" t="s">
        <v>307</v>
      </c>
      <c r="C8" s="310">
        <v>3953335</v>
      </c>
      <c r="D8" s="310">
        <v>75774862</v>
      </c>
      <c r="E8" s="310">
        <v>12313.94</v>
      </c>
      <c r="F8" s="310">
        <v>15</v>
      </c>
      <c r="G8" s="310">
        <v>31</v>
      </c>
      <c r="H8" s="310">
        <v>20</v>
      </c>
      <c r="I8" s="310">
        <v>14</v>
      </c>
      <c r="J8" s="311">
        <v>2055</v>
      </c>
    </row>
    <row r="9" spans="1:10" s="4" customFormat="1" ht="28.5" customHeight="1">
      <c r="A9" s="585"/>
      <c r="B9" s="193" t="s">
        <v>308</v>
      </c>
      <c r="C9" s="310">
        <v>12254353</v>
      </c>
      <c r="D9" s="310">
        <v>275797017</v>
      </c>
      <c r="E9" s="310">
        <v>14151.14</v>
      </c>
      <c r="F9" s="310">
        <v>15</v>
      </c>
      <c r="G9" s="310">
        <v>31</v>
      </c>
      <c r="H9" s="310">
        <v>19</v>
      </c>
      <c r="I9" s="310">
        <v>14</v>
      </c>
      <c r="J9" s="311">
        <v>8142</v>
      </c>
    </row>
    <row r="10" spans="1:10" s="4" customFormat="1" ht="28.5" customHeight="1">
      <c r="A10" s="585"/>
      <c r="B10" s="193" t="s">
        <v>309</v>
      </c>
      <c r="C10" s="310">
        <v>5263747</v>
      </c>
      <c r="D10" s="310">
        <v>167096917</v>
      </c>
      <c r="E10" s="310">
        <v>16230.81</v>
      </c>
      <c r="F10" s="310">
        <v>15</v>
      </c>
      <c r="G10" s="310">
        <v>30</v>
      </c>
      <c r="H10" s="310">
        <v>21</v>
      </c>
      <c r="I10" s="310">
        <v>14</v>
      </c>
      <c r="J10" s="311">
        <v>4926</v>
      </c>
    </row>
    <row r="11" spans="1:10" s="4" customFormat="1" ht="28.5" customHeight="1">
      <c r="A11" s="585"/>
      <c r="B11" s="193" t="s">
        <v>310</v>
      </c>
      <c r="C11" s="310">
        <v>5686000</v>
      </c>
      <c r="D11" s="310">
        <v>171614296</v>
      </c>
      <c r="E11" s="310">
        <v>15942.14</v>
      </c>
      <c r="F11" s="310">
        <v>14</v>
      </c>
      <c r="G11" s="310">
        <v>29</v>
      </c>
      <c r="H11" s="310">
        <v>22</v>
      </c>
      <c r="I11" s="310">
        <v>14</v>
      </c>
      <c r="J11" s="311">
        <v>4298</v>
      </c>
    </row>
    <row r="12" spans="1:10" s="4" customFormat="1" ht="28.5" customHeight="1">
      <c r="A12" s="585"/>
      <c r="B12" s="193" t="s">
        <v>311</v>
      </c>
      <c r="C12" s="310">
        <v>4198145</v>
      </c>
      <c r="D12" s="310">
        <v>130205400</v>
      </c>
      <c r="E12" s="310">
        <v>14290.59</v>
      </c>
      <c r="F12" s="310">
        <v>14</v>
      </c>
      <c r="G12" s="310">
        <v>29</v>
      </c>
      <c r="H12" s="310">
        <v>20</v>
      </c>
      <c r="I12" s="310">
        <v>14</v>
      </c>
      <c r="J12" s="311">
        <v>3447</v>
      </c>
    </row>
    <row r="13" spans="1:10" s="4" customFormat="1" ht="28.5" customHeight="1">
      <c r="A13" s="585"/>
      <c r="B13" s="193" t="s">
        <v>312</v>
      </c>
      <c r="C13" s="310">
        <v>43374825</v>
      </c>
      <c r="D13" s="310">
        <v>479811442</v>
      </c>
      <c r="E13" s="310">
        <v>13866.74</v>
      </c>
      <c r="F13" s="310">
        <v>14</v>
      </c>
      <c r="G13" s="310">
        <v>29</v>
      </c>
      <c r="H13" s="310">
        <v>21</v>
      </c>
      <c r="I13" s="310">
        <v>14</v>
      </c>
      <c r="J13" s="311">
        <v>3942</v>
      </c>
    </row>
    <row r="14" spans="1:10" s="4" customFormat="1" ht="28.5" customHeight="1">
      <c r="A14" s="585"/>
      <c r="B14" s="193" t="s">
        <v>313</v>
      </c>
      <c r="C14" s="310">
        <v>14251997</v>
      </c>
      <c r="D14" s="310">
        <v>129604201</v>
      </c>
      <c r="E14" s="310">
        <v>11688.73</v>
      </c>
      <c r="F14" s="310">
        <v>14</v>
      </c>
      <c r="G14" s="310">
        <v>30</v>
      </c>
      <c r="H14" s="310">
        <v>21</v>
      </c>
      <c r="I14" s="310">
        <v>14</v>
      </c>
      <c r="J14" s="311">
        <v>5178</v>
      </c>
    </row>
    <row r="15" spans="1:10" s="4" customFormat="1" ht="28.5" customHeight="1">
      <c r="A15" s="585"/>
      <c r="B15" s="193" t="s">
        <v>314</v>
      </c>
      <c r="C15" s="310">
        <v>4098570</v>
      </c>
      <c r="D15" s="310">
        <v>68636890</v>
      </c>
      <c r="E15" s="310">
        <v>9883.23</v>
      </c>
      <c r="F15" s="310">
        <v>14</v>
      </c>
      <c r="G15" s="310">
        <v>30</v>
      </c>
      <c r="H15" s="310">
        <v>20</v>
      </c>
      <c r="I15" s="310">
        <v>14</v>
      </c>
      <c r="J15" s="311">
        <v>3441</v>
      </c>
    </row>
    <row r="16" spans="1:10" s="4" customFormat="1" ht="28.5" customHeight="1" thickBot="1">
      <c r="A16" s="585"/>
      <c r="B16" s="194" t="s">
        <v>315</v>
      </c>
      <c r="C16" s="312">
        <v>3338870</v>
      </c>
      <c r="D16" s="312">
        <v>41192781</v>
      </c>
      <c r="E16" s="312">
        <v>9608.58</v>
      </c>
      <c r="F16" s="312">
        <v>13</v>
      </c>
      <c r="G16" s="312">
        <v>29</v>
      </c>
      <c r="H16" s="312">
        <v>17</v>
      </c>
      <c r="I16" s="312">
        <v>14</v>
      </c>
      <c r="J16" s="313">
        <v>1886</v>
      </c>
    </row>
    <row r="17" spans="1:10" s="4" customFormat="1" ht="28.5" customHeight="1" thickBot="1">
      <c r="A17" s="586"/>
      <c r="B17" s="88" t="s">
        <v>389</v>
      </c>
      <c r="C17" s="314">
        <f>SUM(C5:C16)</f>
        <v>105517848</v>
      </c>
      <c r="D17" s="314">
        <f>SUM(D5:D16)</f>
        <v>1710414893</v>
      </c>
      <c r="E17" s="417"/>
      <c r="F17" s="417"/>
      <c r="G17" s="417"/>
      <c r="H17" s="314">
        <f>SUM(H5:H16)</f>
        <v>240</v>
      </c>
      <c r="I17" s="417"/>
      <c r="J17" s="314">
        <f>SUM(J5:J16)</f>
        <v>43077</v>
      </c>
    </row>
    <row r="18" spans="3:11" ht="28.5" customHeight="1" thickBot="1">
      <c r="C18" s="581" t="s">
        <v>223</v>
      </c>
      <c r="D18" s="582"/>
      <c r="E18" s="582"/>
      <c r="F18" s="582"/>
      <c r="G18" s="582"/>
      <c r="H18" s="582"/>
      <c r="I18" s="583"/>
      <c r="J18" s="306">
        <f>C17/H17</f>
        <v>439657.7</v>
      </c>
      <c r="K18" s="42"/>
    </row>
    <row r="19" spans="3:11" ht="28.5" customHeight="1" thickBot="1">
      <c r="C19" s="581" t="s">
        <v>224</v>
      </c>
      <c r="D19" s="582"/>
      <c r="E19" s="582"/>
      <c r="F19" s="582"/>
      <c r="G19" s="582"/>
      <c r="H19" s="582"/>
      <c r="I19" s="583"/>
      <c r="J19" s="306">
        <f>D17/H17</f>
        <v>7126728.720833333</v>
      </c>
      <c r="K19" s="42"/>
    </row>
    <row r="20" spans="3:11" ht="28.5" customHeight="1" thickBot="1">
      <c r="C20" s="581" t="s">
        <v>225</v>
      </c>
      <c r="D20" s="582"/>
      <c r="E20" s="582"/>
      <c r="F20" s="582"/>
      <c r="G20" s="582"/>
      <c r="H20" s="582"/>
      <c r="I20" s="583"/>
      <c r="J20" s="306">
        <f>J17/H17</f>
        <v>179.4875</v>
      </c>
      <c r="K20" s="42"/>
    </row>
  </sheetData>
  <sheetProtection/>
  <mergeCells count="5">
    <mergeCell ref="C20:I20"/>
    <mergeCell ref="A1:I1"/>
    <mergeCell ref="A5:A17"/>
    <mergeCell ref="C18:I18"/>
    <mergeCell ref="C19:I19"/>
  </mergeCells>
  <printOptions horizontalCentered="1"/>
  <pageMargins left="0" right="0" top="0.5" bottom="0.5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5" customWidth="1"/>
    <col min="2" max="2" width="3.28125" style="52" bestFit="1" customWidth="1"/>
    <col min="3" max="3" width="33.57421875" style="59" customWidth="1"/>
    <col min="4" max="15" width="8.57421875" style="5" customWidth="1"/>
    <col min="16" max="16" width="6.7109375" style="5" customWidth="1"/>
    <col min="17" max="16384" width="9.140625" style="5" customWidth="1"/>
  </cols>
  <sheetData>
    <row r="1" spans="1:3" ht="19.5" customHeight="1">
      <c r="A1" s="6" t="s">
        <v>302</v>
      </c>
      <c r="B1" s="5"/>
      <c r="C1" s="56"/>
    </row>
    <row r="2" spans="1:3" ht="12.75" customHeight="1">
      <c r="A2" s="5" t="s">
        <v>303</v>
      </c>
      <c r="B2" s="5"/>
      <c r="C2" s="57"/>
    </row>
    <row r="3" spans="2:3" ht="6.75" customHeight="1" thickBot="1">
      <c r="B3" s="5"/>
      <c r="C3" s="57"/>
    </row>
    <row r="4" spans="2:16" ht="13.5" customHeight="1" thickBot="1">
      <c r="B4" s="5"/>
      <c r="C4" s="57"/>
      <c r="D4" s="458">
        <v>2008</v>
      </c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27"/>
    </row>
    <row r="5" spans="2:16" ht="48" thickBot="1">
      <c r="B5" s="5"/>
      <c r="C5" s="57"/>
      <c r="D5" s="67" t="s">
        <v>304</v>
      </c>
      <c r="E5" s="67" t="s">
        <v>305</v>
      </c>
      <c r="F5" s="67" t="s">
        <v>306</v>
      </c>
      <c r="G5" s="67" t="s">
        <v>307</v>
      </c>
      <c r="H5" s="67" t="s">
        <v>308</v>
      </c>
      <c r="I5" s="67" t="s">
        <v>309</v>
      </c>
      <c r="J5" s="67" t="s">
        <v>310</v>
      </c>
      <c r="K5" s="67" t="s">
        <v>311</v>
      </c>
      <c r="L5" s="67" t="s">
        <v>312</v>
      </c>
      <c r="M5" s="67" t="s">
        <v>313</v>
      </c>
      <c r="N5" s="67" t="s">
        <v>314</v>
      </c>
      <c r="O5" s="67" t="s">
        <v>315</v>
      </c>
      <c r="P5" s="20"/>
    </row>
    <row r="6" spans="1:17" ht="18" customHeight="1" thickBot="1">
      <c r="A6" s="459" t="s">
        <v>317</v>
      </c>
      <c r="B6" s="459" t="s">
        <v>316</v>
      </c>
      <c r="C6" s="58" t="s">
        <v>318</v>
      </c>
      <c r="D6" s="70">
        <f aca="true" t="shared" si="0" ref="D6:O6">SUM(D7:D8)</f>
        <v>27601.466999999997</v>
      </c>
      <c r="E6" s="70">
        <f t="shared" si="0"/>
        <v>29745.716</v>
      </c>
      <c r="F6" s="70">
        <f t="shared" si="0"/>
        <v>29325.462</v>
      </c>
      <c r="G6" s="70">
        <f t="shared" si="0"/>
        <v>29195.112</v>
      </c>
      <c r="H6" s="70">
        <f t="shared" si="0"/>
        <v>30165.359</v>
      </c>
      <c r="I6" s="70">
        <f t="shared" si="0"/>
        <v>32012.6</v>
      </c>
      <c r="J6" s="70">
        <f t="shared" si="0"/>
        <v>34019.455</v>
      </c>
      <c r="K6" s="70">
        <f t="shared" si="0"/>
        <v>34429.959</v>
      </c>
      <c r="L6" s="70">
        <f t="shared" si="0"/>
        <v>35401.267</v>
      </c>
      <c r="M6" s="70">
        <f t="shared" si="0"/>
        <v>34458.265</v>
      </c>
      <c r="N6" s="70">
        <f t="shared" si="0"/>
        <v>36055.396</v>
      </c>
      <c r="O6" s="70">
        <f t="shared" si="0"/>
        <v>37829.429</v>
      </c>
      <c r="P6" s="40"/>
      <c r="Q6" s="28"/>
    </row>
    <row r="7" spans="1:17" ht="18" customHeight="1">
      <c r="A7" s="460"/>
      <c r="B7" s="460"/>
      <c r="C7" s="68" t="s">
        <v>319</v>
      </c>
      <c r="D7" s="69">
        <v>12841.211</v>
      </c>
      <c r="E7" s="69">
        <v>13489.075</v>
      </c>
      <c r="F7" s="69">
        <v>12992.75</v>
      </c>
      <c r="G7" s="69">
        <v>12032.075</v>
      </c>
      <c r="H7" s="69">
        <v>12207.248</v>
      </c>
      <c r="I7" s="69">
        <v>12985.103</v>
      </c>
      <c r="J7" s="69">
        <v>12647.964</v>
      </c>
      <c r="K7" s="69">
        <v>11625.421</v>
      </c>
      <c r="L7" s="69">
        <v>12296.225</v>
      </c>
      <c r="M7" s="69">
        <v>10089.87</v>
      </c>
      <c r="N7" s="69">
        <v>11305.66</v>
      </c>
      <c r="O7" s="69">
        <v>12107.844</v>
      </c>
      <c r="P7" s="41"/>
      <c r="Q7" s="29"/>
    </row>
    <row r="8" spans="1:17" ht="18" customHeight="1" thickBot="1">
      <c r="A8" s="460"/>
      <c r="B8" s="460"/>
      <c r="C8" s="72" t="s">
        <v>320</v>
      </c>
      <c r="D8" s="73">
        <v>14760.256</v>
      </c>
      <c r="E8" s="73">
        <v>16256.641</v>
      </c>
      <c r="F8" s="73">
        <v>16332.712</v>
      </c>
      <c r="G8" s="73">
        <v>17163.037</v>
      </c>
      <c r="H8" s="73">
        <v>17958.111</v>
      </c>
      <c r="I8" s="73">
        <v>19027.497</v>
      </c>
      <c r="J8" s="73">
        <v>21371.491</v>
      </c>
      <c r="K8" s="73">
        <v>22804.538</v>
      </c>
      <c r="L8" s="73">
        <v>23105.042</v>
      </c>
      <c r="M8" s="73">
        <v>24368.395</v>
      </c>
      <c r="N8" s="73">
        <v>24749.736</v>
      </c>
      <c r="O8" s="73">
        <v>25721.585</v>
      </c>
      <c r="P8" s="40"/>
      <c r="Q8" s="29"/>
    </row>
    <row r="9" spans="1:17" s="8" customFormat="1" ht="18" customHeight="1">
      <c r="A9" s="460"/>
      <c r="B9" s="460"/>
      <c r="C9" s="84" t="s">
        <v>321</v>
      </c>
      <c r="D9" s="71">
        <v>302.69</v>
      </c>
      <c r="E9" s="71">
        <v>305.501</v>
      </c>
      <c r="F9" s="71">
        <v>304.665</v>
      </c>
      <c r="G9" s="71">
        <v>305.927</v>
      </c>
      <c r="H9" s="71">
        <v>308.636</v>
      </c>
      <c r="I9" s="71">
        <v>309.187</v>
      </c>
      <c r="J9" s="71">
        <v>307.749</v>
      </c>
      <c r="K9" s="71">
        <v>307.679</v>
      </c>
      <c r="L9" s="71">
        <v>304.382</v>
      </c>
      <c r="M9" s="71">
        <v>308.268</v>
      </c>
      <c r="N9" s="71">
        <v>309.057</v>
      </c>
      <c r="O9" s="71">
        <v>305.324</v>
      </c>
      <c r="P9" s="41"/>
      <c r="Q9" s="28"/>
    </row>
    <row r="10" spans="1:17" s="8" customFormat="1" ht="18" customHeight="1">
      <c r="A10" s="460"/>
      <c r="B10" s="460"/>
      <c r="C10" s="61" t="s">
        <v>322</v>
      </c>
      <c r="D10" s="63">
        <v>1675.852</v>
      </c>
      <c r="E10" s="63">
        <v>1683.159</v>
      </c>
      <c r="F10" s="63">
        <v>1690.969</v>
      </c>
      <c r="G10" s="63">
        <v>1678.368</v>
      </c>
      <c r="H10" s="63">
        <v>1686.178</v>
      </c>
      <c r="I10" s="63">
        <v>1693.074</v>
      </c>
      <c r="J10" s="63">
        <v>1630.614</v>
      </c>
      <c r="K10" s="63">
        <v>1635.646</v>
      </c>
      <c r="L10" s="63">
        <v>1650.585</v>
      </c>
      <c r="M10" s="63">
        <v>1528.962</v>
      </c>
      <c r="N10" s="63">
        <v>1536.039</v>
      </c>
      <c r="O10" s="63">
        <v>1543.107</v>
      </c>
      <c r="P10" s="41"/>
      <c r="Q10" s="28"/>
    </row>
    <row r="11" spans="1:17" s="9" customFormat="1" ht="18" customHeight="1">
      <c r="A11" s="460"/>
      <c r="B11" s="460"/>
      <c r="C11" s="61" t="s">
        <v>323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40"/>
      <c r="Q11" s="28"/>
    </row>
    <row r="12" spans="1:17" s="9" customFormat="1" ht="18" customHeight="1">
      <c r="A12" s="460"/>
      <c r="B12" s="460"/>
      <c r="C12" s="61" t="s">
        <v>324</v>
      </c>
      <c r="D12" s="63">
        <v>401</v>
      </c>
      <c r="E12" s="63">
        <v>403</v>
      </c>
      <c r="F12" s="63">
        <v>405</v>
      </c>
      <c r="G12" s="63">
        <v>385</v>
      </c>
      <c r="H12" s="63">
        <v>386</v>
      </c>
      <c r="I12" s="63">
        <v>376</v>
      </c>
      <c r="J12" s="63">
        <v>373</v>
      </c>
      <c r="K12" s="63">
        <v>375</v>
      </c>
      <c r="L12" s="63">
        <v>376</v>
      </c>
      <c r="M12" s="63">
        <v>358</v>
      </c>
      <c r="N12" s="63">
        <v>360</v>
      </c>
      <c r="O12" s="63">
        <v>362</v>
      </c>
      <c r="P12" s="41"/>
      <c r="Q12" s="28"/>
    </row>
    <row r="13" spans="1:17" s="9" customFormat="1" ht="18" customHeight="1">
      <c r="A13" s="460"/>
      <c r="B13" s="460"/>
      <c r="C13" s="61" t="s">
        <v>325</v>
      </c>
      <c r="D13" s="63">
        <v>13068</v>
      </c>
      <c r="E13" s="63">
        <v>13000</v>
      </c>
      <c r="F13" s="63">
        <v>13130</v>
      </c>
      <c r="G13" s="63">
        <v>13172</v>
      </c>
      <c r="H13" s="63">
        <v>13189</v>
      </c>
      <c r="I13" s="63">
        <v>12721</v>
      </c>
      <c r="J13" s="63">
        <v>12121</v>
      </c>
      <c r="K13" s="63">
        <v>12137</v>
      </c>
      <c r="L13" s="63">
        <v>12688</v>
      </c>
      <c r="M13" s="63">
        <v>13086</v>
      </c>
      <c r="N13" s="63">
        <v>13173</v>
      </c>
      <c r="O13" s="63">
        <v>13933</v>
      </c>
      <c r="P13" s="42"/>
      <c r="Q13" s="28"/>
    </row>
    <row r="14" spans="1:17" s="9" customFormat="1" ht="18" customHeight="1">
      <c r="A14" s="460"/>
      <c r="B14" s="460"/>
      <c r="C14" s="61" t="s">
        <v>326</v>
      </c>
      <c r="D14" s="63">
        <v>440.375</v>
      </c>
      <c r="E14" s="63">
        <v>432.699</v>
      </c>
      <c r="F14" s="63">
        <v>437.177</v>
      </c>
      <c r="G14" s="63">
        <v>438.456</v>
      </c>
      <c r="H14" s="63">
        <v>436.582</v>
      </c>
      <c r="I14" s="63">
        <v>437.784</v>
      </c>
      <c r="J14" s="63">
        <v>434.224</v>
      </c>
      <c r="K14" s="63">
        <v>422.354</v>
      </c>
      <c r="L14" s="63">
        <v>416.885</v>
      </c>
      <c r="M14" s="63">
        <v>412.15</v>
      </c>
      <c r="N14" s="63">
        <v>419.451</v>
      </c>
      <c r="O14" s="63">
        <v>409.02</v>
      </c>
      <c r="P14" s="40"/>
      <c r="Q14" s="30"/>
    </row>
    <row r="15" spans="1:17" s="9" customFormat="1" ht="18" customHeight="1" thickBot="1">
      <c r="A15" s="460"/>
      <c r="B15" s="460"/>
      <c r="C15" s="85" t="s">
        <v>327</v>
      </c>
      <c r="D15" s="75">
        <v>6444.462</v>
      </c>
      <c r="E15" s="75">
        <v>6503.928</v>
      </c>
      <c r="F15" s="75">
        <v>6695.559</v>
      </c>
      <c r="G15" s="75">
        <v>6931.829</v>
      </c>
      <c r="H15" s="75">
        <v>7268.893</v>
      </c>
      <c r="I15" s="75">
        <v>7418.773</v>
      </c>
      <c r="J15" s="75">
        <v>7818.297</v>
      </c>
      <c r="K15" s="75">
        <v>8065.012</v>
      </c>
      <c r="L15" s="75">
        <v>8274.856</v>
      </c>
      <c r="M15" s="75">
        <v>8629.246</v>
      </c>
      <c r="N15" s="75">
        <v>9076.948</v>
      </c>
      <c r="O15" s="75">
        <v>6038.307</v>
      </c>
      <c r="P15" s="40"/>
      <c r="Q15" s="28"/>
    </row>
    <row r="16" spans="1:17" s="9" customFormat="1" ht="18" customHeight="1" thickBot="1">
      <c r="A16" s="460"/>
      <c r="B16" s="461"/>
      <c r="C16" s="55" t="s">
        <v>328</v>
      </c>
      <c r="D16" s="77">
        <v>49933.783</v>
      </c>
      <c r="E16" s="77">
        <v>52073.821</v>
      </c>
      <c r="F16" s="77">
        <v>51988.568</v>
      </c>
      <c r="G16" s="77">
        <v>52106.147</v>
      </c>
      <c r="H16" s="77">
        <v>53440.716</v>
      </c>
      <c r="I16" s="77">
        <v>54968.471</v>
      </c>
      <c r="J16" s="77">
        <v>56709.147</v>
      </c>
      <c r="K16" s="77">
        <v>57372.48</v>
      </c>
      <c r="L16" s="77">
        <v>59112.023</v>
      </c>
      <c r="M16" s="77">
        <v>58781.449</v>
      </c>
      <c r="N16" s="77">
        <v>60930.282</v>
      </c>
      <c r="O16" s="77">
        <v>60419.619</v>
      </c>
      <c r="P16" s="40"/>
      <c r="Q16" s="29"/>
    </row>
    <row r="17" spans="1:17" s="9" customFormat="1" ht="18" customHeight="1">
      <c r="A17" s="460"/>
      <c r="B17" s="462" t="s">
        <v>333</v>
      </c>
      <c r="C17" s="78" t="s">
        <v>329</v>
      </c>
      <c r="D17" s="79">
        <v>2066.318</v>
      </c>
      <c r="E17" s="79">
        <v>2091.684</v>
      </c>
      <c r="F17" s="79">
        <v>2132.409</v>
      </c>
      <c r="G17" s="79">
        <v>2141.892</v>
      </c>
      <c r="H17" s="79">
        <v>2198.576</v>
      </c>
      <c r="I17" s="79">
        <v>2160.012</v>
      </c>
      <c r="J17" s="79">
        <v>2187.487</v>
      </c>
      <c r="K17" s="79">
        <v>2172.779</v>
      </c>
      <c r="L17" s="80">
        <v>2299.435</v>
      </c>
      <c r="M17" s="80">
        <v>2252.98</v>
      </c>
      <c r="N17" s="80">
        <v>2294.574</v>
      </c>
      <c r="O17" s="80">
        <v>2498.331</v>
      </c>
      <c r="P17" s="40"/>
      <c r="Q17" s="28"/>
    </row>
    <row r="18" spans="1:17" s="9" customFormat="1" ht="18" customHeight="1">
      <c r="A18" s="460"/>
      <c r="B18" s="463"/>
      <c r="C18" s="62" t="s">
        <v>330</v>
      </c>
      <c r="D18" s="63">
        <v>27322.453</v>
      </c>
      <c r="E18" s="63">
        <v>28285.796</v>
      </c>
      <c r="F18" s="63">
        <v>28510.263</v>
      </c>
      <c r="G18" s="63">
        <v>29249.841</v>
      </c>
      <c r="H18" s="63">
        <v>30281.7</v>
      </c>
      <c r="I18" s="63">
        <v>30470.069</v>
      </c>
      <c r="J18" s="63">
        <v>32084.612</v>
      </c>
      <c r="K18" s="63">
        <v>32827.23</v>
      </c>
      <c r="L18" s="81">
        <v>33637.944</v>
      </c>
      <c r="M18" s="81">
        <v>34916.637</v>
      </c>
      <c r="N18" s="81">
        <v>35067.599</v>
      </c>
      <c r="O18" s="81">
        <v>36193.064</v>
      </c>
      <c r="P18" s="42"/>
      <c r="Q18" s="29"/>
    </row>
    <row r="19" spans="1:17" s="9" customFormat="1" ht="18" customHeight="1">
      <c r="A19" s="460"/>
      <c r="B19" s="463"/>
      <c r="C19" s="62" t="s">
        <v>331</v>
      </c>
      <c r="D19" s="63">
        <v>835.488</v>
      </c>
      <c r="E19" s="63">
        <v>830.372</v>
      </c>
      <c r="F19" s="63">
        <v>874.434</v>
      </c>
      <c r="G19" s="63">
        <v>1001.081</v>
      </c>
      <c r="H19" s="63">
        <v>1056.479</v>
      </c>
      <c r="I19" s="63">
        <v>1029.207</v>
      </c>
      <c r="J19" s="63">
        <v>1054.144</v>
      </c>
      <c r="K19" s="63">
        <v>1179.66</v>
      </c>
      <c r="L19" s="81">
        <v>1213.668</v>
      </c>
      <c r="M19" s="81">
        <v>1329.506</v>
      </c>
      <c r="N19" s="81">
        <v>1253.807</v>
      </c>
      <c r="O19" s="81">
        <v>1313.505</v>
      </c>
      <c r="P19" s="42"/>
      <c r="Q19" s="28"/>
    </row>
    <row r="20" spans="1:17" ht="18" customHeight="1">
      <c r="A20" s="460"/>
      <c r="B20" s="463"/>
      <c r="C20" s="62" t="s">
        <v>332</v>
      </c>
      <c r="D20" s="63">
        <v>207.973</v>
      </c>
      <c r="E20" s="63">
        <v>208.309</v>
      </c>
      <c r="F20" s="63">
        <v>215.357</v>
      </c>
      <c r="G20" s="63">
        <v>215.775</v>
      </c>
      <c r="H20" s="63">
        <v>143.184</v>
      </c>
      <c r="I20" s="63">
        <v>49.34</v>
      </c>
      <c r="J20" s="63">
        <v>61.095</v>
      </c>
      <c r="K20" s="63">
        <v>48.178</v>
      </c>
      <c r="L20" s="81">
        <v>48.048</v>
      </c>
      <c r="M20" s="81">
        <v>45.01</v>
      </c>
      <c r="N20" s="81">
        <v>45.998</v>
      </c>
      <c r="O20" s="81">
        <v>28.035</v>
      </c>
      <c r="P20" s="42"/>
      <c r="Q20" s="29"/>
    </row>
    <row r="21" spans="1:17" ht="18" customHeight="1">
      <c r="A21" s="460"/>
      <c r="B21" s="463"/>
      <c r="C21" s="62" t="s">
        <v>334</v>
      </c>
      <c r="D21" s="63">
        <v>3447.105</v>
      </c>
      <c r="E21" s="63">
        <v>3899.849</v>
      </c>
      <c r="F21" s="63">
        <v>3856.328</v>
      </c>
      <c r="G21" s="63">
        <v>4090.67</v>
      </c>
      <c r="H21" s="63">
        <v>3969.943</v>
      </c>
      <c r="I21" s="63">
        <v>4694.34</v>
      </c>
      <c r="J21" s="63">
        <v>5058.479</v>
      </c>
      <c r="K21" s="63">
        <v>5872.93</v>
      </c>
      <c r="L21" s="81">
        <v>5945.713</v>
      </c>
      <c r="M21" s="81">
        <v>6753.748</v>
      </c>
      <c r="N21" s="81">
        <v>7274.398</v>
      </c>
      <c r="O21" s="81">
        <v>6994.522</v>
      </c>
      <c r="P21" s="42"/>
      <c r="Q21" s="29"/>
    </row>
    <row r="22" spans="1:17" ht="18" customHeight="1">
      <c r="A22" s="460"/>
      <c r="B22" s="463"/>
      <c r="C22" s="62" t="s">
        <v>335</v>
      </c>
      <c r="D22" s="63">
        <v>4380.136</v>
      </c>
      <c r="E22" s="63">
        <v>5052.28</v>
      </c>
      <c r="F22" s="63">
        <v>4601.963</v>
      </c>
      <c r="G22" s="63">
        <v>3616.842</v>
      </c>
      <c r="H22" s="63">
        <v>3786.136</v>
      </c>
      <c r="I22" s="63">
        <v>4582.002</v>
      </c>
      <c r="J22" s="63">
        <v>4234.044</v>
      </c>
      <c r="K22" s="63">
        <v>3143.868</v>
      </c>
      <c r="L22" s="81">
        <v>3789.424</v>
      </c>
      <c r="M22" s="81">
        <v>1459.593</v>
      </c>
      <c r="N22" s="81">
        <v>2688.153</v>
      </c>
      <c r="O22" s="81">
        <v>3601.589</v>
      </c>
      <c r="P22" s="42"/>
      <c r="Q22" s="29"/>
    </row>
    <row r="23" spans="1:17" ht="18" customHeight="1">
      <c r="A23" s="460"/>
      <c r="B23" s="463"/>
      <c r="C23" s="62" t="s">
        <v>336</v>
      </c>
      <c r="D23" s="63">
        <v>3015</v>
      </c>
      <c r="E23" s="63">
        <v>3015</v>
      </c>
      <c r="F23" s="63">
        <v>3015</v>
      </c>
      <c r="G23" s="63">
        <v>3015</v>
      </c>
      <c r="H23" s="63">
        <v>3015</v>
      </c>
      <c r="I23" s="63">
        <v>3015</v>
      </c>
      <c r="J23" s="63">
        <v>3015</v>
      </c>
      <c r="K23" s="63">
        <v>3015</v>
      </c>
      <c r="L23" s="81">
        <v>3015</v>
      </c>
      <c r="M23" s="81">
        <v>3015</v>
      </c>
      <c r="N23" s="81">
        <v>3015</v>
      </c>
      <c r="O23" s="81">
        <v>3015</v>
      </c>
      <c r="P23" s="42"/>
      <c r="Q23" s="29"/>
    </row>
    <row r="24" spans="1:17" ht="18" customHeight="1">
      <c r="A24" s="460"/>
      <c r="B24" s="463"/>
      <c r="C24" s="62" t="s">
        <v>337</v>
      </c>
      <c r="D24" s="63">
        <v>531.237</v>
      </c>
      <c r="E24" s="63">
        <v>539.511</v>
      </c>
      <c r="F24" s="63">
        <v>548.802</v>
      </c>
      <c r="G24" s="63">
        <v>560.417</v>
      </c>
      <c r="H24" s="63">
        <v>635.918</v>
      </c>
      <c r="I24" s="63">
        <v>648.429</v>
      </c>
      <c r="J24" s="63">
        <v>653.24</v>
      </c>
      <c r="K24" s="63">
        <v>659.582</v>
      </c>
      <c r="L24" s="81">
        <v>656.947</v>
      </c>
      <c r="M24" s="81">
        <v>656.995</v>
      </c>
      <c r="N24" s="81">
        <v>660.388</v>
      </c>
      <c r="O24" s="81">
        <v>671.483</v>
      </c>
      <c r="P24" s="42"/>
      <c r="Q24" s="28"/>
    </row>
    <row r="25" spans="1:17" ht="18" customHeight="1">
      <c r="A25" s="460"/>
      <c r="B25" s="463"/>
      <c r="C25" s="62" t="s">
        <v>338</v>
      </c>
      <c r="D25" s="63">
        <v>3197.483</v>
      </c>
      <c r="E25" s="63">
        <v>3192.553</v>
      </c>
      <c r="F25" s="63">
        <v>3205.941</v>
      </c>
      <c r="G25" s="63">
        <v>3188.049</v>
      </c>
      <c r="H25" s="63">
        <v>3171.246</v>
      </c>
      <c r="I25" s="63">
        <v>3173.426</v>
      </c>
      <c r="J25" s="63">
        <v>3157.94</v>
      </c>
      <c r="K25" s="63">
        <v>3112.544</v>
      </c>
      <c r="L25" s="81">
        <v>3090.222</v>
      </c>
      <c r="M25" s="81">
        <v>3022.507</v>
      </c>
      <c r="N25" s="81">
        <v>2850.085</v>
      </c>
      <c r="O25" s="81">
        <v>2682.031</v>
      </c>
      <c r="P25" s="42"/>
      <c r="Q25" s="28"/>
    </row>
    <row r="26" spans="1:17" ht="18" customHeight="1">
      <c r="A26" s="460"/>
      <c r="B26" s="463"/>
      <c r="C26" s="62" t="s">
        <v>339</v>
      </c>
      <c r="D26" s="63">
        <v>2715.193</v>
      </c>
      <c r="E26" s="63">
        <v>2715.186</v>
      </c>
      <c r="F26" s="63">
        <v>2715.178</v>
      </c>
      <c r="G26" s="63">
        <v>2715.17</v>
      </c>
      <c r="H26" s="63">
        <v>2715.162</v>
      </c>
      <c r="I26" s="63">
        <v>2875.317</v>
      </c>
      <c r="J26" s="63">
        <v>2875.356</v>
      </c>
      <c r="K26" s="63">
        <v>2875.348</v>
      </c>
      <c r="L26" s="81">
        <v>2875.34</v>
      </c>
      <c r="M26" s="81">
        <v>2875.332</v>
      </c>
      <c r="N26" s="81">
        <v>2875.324</v>
      </c>
      <c r="O26" s="81">
        <v>2410.638</v>
      </c>
      <c r="P26" s="42"/>
      <c r="Q26" s="29"/>
    </row>
    <row r="27" spans="1:17" ht="18" customHeight="1" thickBot="1">
      <c r="A27" s="460"/>
      <c r="B27" s="463"/>
      <c r="C27" s="74" t="s">
        <v>340</v>
      </c>
      <c r="D27" s="75">
        <v>2215.397</v>
      </c>
      <c r="E27" s="75">
        <v>2243.281</v>
      </c>
      <c r="F27" s="75">
        <v>2312.893</v>
      </c>
      <c r="G27" s="75">
        <v>2311.41</v>
      </c>
      <c r="H27" s="75">
        <v>2467.372</v>
      </c>
      <c r="I27" s="75">
        <v>2271.329</v>
      </c>
      <c r="J27" s="75">
        <v>2327.75</v>
      </c>
      <c r="K27" s="75">
        <v>2465.361</v>
      </c>
      <c r="L27" s="82">
        <v>2540.282</v>
      </c>
      <c r="M27" s="82">
        <v>2454.141</v>
      </c>
      <c r="N27" s="82">
        <v>2904.956</v>
      </c>
      <c r="O27" s="82">
        <v>1011.421</v>
      </c>
      <c r="P27" s="42"/>
      <c r="Q27" s="28"/>
    </row>
    <row r="28" spans="1:17" ht="18" customHeight="1" thickBot="1">
      <c r="A28" s="461"/>
      <c r="B28" s="464"/>
      <c r="C28" s="54" t="s">
        <v>341</v>
      </c>
      <c r="D28" s="76">
        <v>49933.783</v>
      </c>
      <c r="E28" s="76">
        <v>52073.821</v>
      </c>
      <c r="F28" s="76">
        <v>51988.568</v>
      </c>
      <c r="G28" s="76">
        <v>52106.147</v>
      </c>
      <c r="H28" s="76">
        <v>53440.716</v>
      </c>
      <c r="I28" s="76">
        <v>54968.471</v>
      </c>
      <c r="J28" s="76">
        <v>56709.147</v>
      </c>
      <c r="K28" s="76">
        <v>57372.48</v>
      </c>
      <c r="L28" s="76">
        <v>59112.023</v>
      </c>
      <c r="M28" s="76">
        <v>58781.449</v>
      </c>
      <c r="N28" s="76">
        <v>60930.282</v>
      </c>
      <c r="O28" s="83">
        <v>60419.619</v>
      </c>
      <c r="P28" s="42"/>
      <c r="Q28" s="29"/>
    </row>
    <row r="29" ht="12.75">
      <c r="Q29" s="29"/>
    </row>
    <row r="30" ht="12.75">
      <c r="Q30" s="29"/>
    </row>
    <row r="31" ht="12.75">
      <c r="Q31" s="29"/>
    </row>
  </sheetData>
  <sheetProtection/>
  <mergeCells count="4">
    <mergeCell ref="D4:O4"/>
    <mergeCell ref="A6:A28"/>
    <mergeCell ref="B6:B16"/>
    <mergeCell ref="B17:B28"/>
  </mergeCells>
  <printOptions horizontalCentered="1"/>
  <pageMargins left="0" right="0" top="0.5" bottom="0.5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L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5" customWidth="1"/>
    <col min="2" max="2" width="6.421875" style="21" customWidth="1"/>
    <col min="3" max="3" width="23.28125" style="21" customWidth="1"/>
    <col min="4" max="4" width="11.00390625" style="13" customWidth="1"/>
    <col min="5" max="12" width="11.00390625" style="2" customWidth="1"/>
    <col min="13" max="16384" width="9.140625" style="5" customWidth="1"/>
  </cols>
  <sheetData>
    <row r="1" spans="1:12" ht="19.5" customHeight="1">
      <c r="A1" s="164" t="s">
        <v>226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ht="12.75">
      <c r="A2" s="14" t="s">
        <v>189</v>
      </c>
    </row>
    <row r="3" ht="6.75" customHeight="1" thickBot="1"/>
    <row r="4" spans="1:12" s="21" customFormat="1" ht="35.25" customHeight="1" thickBot="1">
      <c r="A4" s="587">
        <v>2008</v>
      </c>
      <c r="B4" s="88" t="s">
        <v>227</v>
      </c>
      <c r="C4" s="182" t="s">
        <v>228</v>
      </c>
      <c r="D4" s="332" t="s">
        <v>236</v>
      </c>
      <c r="E4" s="148" t="s">
        <v>229</v>
      </c>
      <c r="F4" s="148" t="s">
        <v>230</v>
      </c>
      <c r="G4" s="148" t="s">
        <v>231</v>
      </c>
      <c r="H4" s="148" t="s">
        <v>232</v>
      </c>
      <c r="I4" s="148" t="s">
        <v>233</v>
      </c>
      <c r="J4" s="148" t="s">
        <v>237</v>
      </c>
      <c r="K4" s="148" t="s">
        <v>234</v>
      </c>
      <c r="L4" s="148" t="s">
        <v>235</v>
      </c>
    </row>
    <row r="5" spans="1:12" ht="33" customHeight="1">
      <c r="A5" s="588"/>
      <c r="B5" s="575" t="s">
        <v>190</v>
      </c>
      <c r="C5" s="318" t="s">
        <v>191</v>
      </c>
      <c r="D5" s="319" t="s">
        <v>450</v>
      </c>
      <c r="E5" s="273">
        <v>30087.761</v>
      </c>
      <c r="F5" s="199">
        <v>850387</v>
      </c>
      <c r="G5" s="273">
        <v>23783</v>
      </c>
      <c r="H5" s="316">
        <v>22.85</v>
      </c>
      <c r="I5" s="316">
        <v>40</v>
      </c>
      <c r="J5" s="316">
        <v>16.15</v>
      </c>
      <c r="K5" s="316">
        <v>16.54</v>
      </c>
      <c r="L5" s="273">
        <v>240</v>
      </c>
    </row>
    <row r="6" spans="1:12" s="15" customFormat="1" ht="33" customHeight="1" thickBot="1">
      <c r="A6" s="588"/>
      <c r="B6" s="577"/>
      <c r="C6" s="320" t="s">
        <v>192</v>
      </c>
      <c r="D6" s="321" t="s">
        <v>450</v>
      </c>
      <c r="E6" s="268">
        <v>13836.309</v>
      </c>
      <c r="F6" s="206">
        <v>404577</v>
      </c>
      <c r="G6" s="268">
        <v>11280</v>
      </c>
      <c r="H6" s="317">
        <v>22.99</v>
      </c>
      <c r="I6" s="317">
        <v>39.93</v>
      </c>
      <c r="J6" s="317">
        <v>16.25</v>
      </c>
      <c r="K6" s="317">
        <v>16.7</v>
      </c>
      <c r="L6" s="268">
        <v>240</v>
      </c>
    </row>
    <row r="7" spans="1:12" s="9" customFormat="1" ht="12" customHeight="1">
      <c r="A7" s="589"/>
      <c r="B7" s="568" t="s">
        <v>427</v>
      </c>
      <c r="C7" s="323" t="s">
        <v>1</v>
      </c>
      <c r="D7" s="319" t="s">
        <v>450</v>
      </c>
      <c r="E7" s="273">
        <v>36346.018</v>
      </c>
      <c r="F7" s="198">
        <v>55626</v>
      </c>
      <c r="G7" s="273">
        <v>15</v>
      </c>
      <c r="H7" s="316">
        <v>7.49</v>
      </c>
      <c r="I7" s="316">
        <v>7.5</v>
      </c>
      <c r="J7" s="316">
        <v>1.37</v>
      </c>
      <c r="K7" s="316">
        <v>1.9</v>
      </c>
      <c r="L7" s="273">
        <v>5</v>
      </c>
    </row>
    <row r="8" spans="1:12" s="9" customFormat="1" ht="12" customHeight="1">
      <c r="A8" s="589"/>
      <c r="B8" s="569"/>
      <c r="C8" s="324" t="s">
        <v>2</v>
      </c>
      <c r="D8" s="325" t="s">
        <v>450</v>
      </c>
      <c r="E8" s="266">
        <v>912.909</v>
      </c>
      <c r="F8" s="203">
        <v>72082</v>
      </c>
      <c r="G8" s="266">
        <v>354</v>
      </c>
      <c r="H8" s="322">
        <v>70</v>
      </c>
      <c r="I8" s="322">
        <v>98</v>
      </c>
      <c r="J8" s="322">
        <v>52</v>
      </c>
      <c r="K8" s="322">
        <v>52</v>
      </c>
      <c r="L8" s="266">
        <v>74</v>
      </c>
    </row>
    <row r="9" spans="1:12" s="9" customFormat="1" ht="12" customHeight="1">
      <c r="A9" s="589"/>
      <c r="B9" s="569"/>
      <c r="C9" s="324" t="s">
        <v>3</v>
      </c>
      <c r="D9" s="325" t="s">
        <v>450</v>
      </c>
      <c r="E9" s="266">
        <v>1179.798</v>
      </c>
      <c r="F9" s="203">
        <v>103056</v>
      </c>
      <c r="G9" s="266">
        <v>2147</v>
      </c>
      <c r="H9" s="322">
        <v>77</v>
      </c>
      <c r="I9" s="322">
        <v>105</v>
      </c>
      <c r="J9" s="322">
        <v>53.45</v>
      </c>
      <c r="K9" s="322">
        <v>53.45</v>
      </c>
      <c r="L9" s="266">
        <v>208</v>
      </c>
    </row>
    <row r="10" spans="1:12" s="9" customFormat="1" ht="12" customHeight="1">
      <c r="A10" s="589"/>
      <c r="B10" s="569"/>
      <c r="C10" s="324" t="s">
        <v>4</v>
      </c>
      <c r="D10" s="325" t="s">
        <v>450</v>
      </c>
      <c r="E10" s="266">
        <v>157.04</v>
      </c>
      <c r="F10" s="203">
        <v>3991</v>
      </c>
      <c r="G10" s="266">
        <v>70</v>
      </c>
      <c r="H10" s="322">
        <v>26.3</v>
      </c>
      <c r="I10" s="322">
        <v>27.25</v>
      </c>
      <c r="J10" s="322">
        <v>25</v>
      </c>
      <c r="K10" s="322">
        <v>25.25</v>
      </c>
      <c r="L10" s="266">
        <v>34</v>
      </c>
    </row>
    <row r="11" spans="1:12" s="9" customFormat="1" ht="12" customHeight="1">
      <c r="A11" s="589"/>
      <c r="B11" s="569"/>
      <c r="C11" s="324" t="s">
        <v>5</v>
      </c>
      <c r="D11" s="325" t="s">
        <v>450</v>
      </c>
      <c r="E11" s="266">
        <v>48.482</v>
      </c>
      <c r="F11" s="203">
        <v>4914</v>
      </c>
      <c r="G11" s="266">
        <v>68</v>
      </c>
      <c r="H11" s="322">
        <v>101.4</v>
      </c>
      <c r="I11" s="322">
        <v>105.5</v>
      </c>
      <c r="J11" s="322">
        <v>100</v>
      </c>
      <c r="K11" s="322">
        <v>100</v>
      </c>
      <c r="L11" s="266">
        <v>41</v>
      </c>
    </row>
    <row r="12" spans="1:12" s="9" customFormat="1" ht="12" customHeight="1">
      <c r="A12" s="589"/>
      <c r="B12" s="569"/>
      <c r="C12" s="324" t="s">
        <v>6</v>
      </c>
      <c r="D12" s="325" t="s">
        <v>450</v>
      </c>
      <c r="E12" s="266">
        <v>1635.767</v>
      </c>
      <c r="F12" s="203">
        <v>24462</v>
      </c>
      <c r="G12" s="266">
        <v>251</v>
      </c>
      <c r="H12" s="322">
        <v>12.1</v>
      </c>
      <c r="I12" s="322">
        <v>18.5</v>
      </c>
      <c r="J12" s="322">
        <v>11.55</v>
      </c>
      <c r="K12" s="322">
        <v>18.25</v>
      </c>
      <c r="L12" s="266">
        <v>102</v>
      </c>
    </row>
    <row r="13" spans="1:12" s="9" customFormat="1" ht="12" customHeight="1">
      <c r="A13" s="589"/>
      <c r="B13" s="569"/>
      <c r="C13" s="324" t="s">
        <v>7</v>
      </c>
      <c r="D13" s="325" t="s">
        <v>450</v>
      </c>
      <c r="E13" s="266">
        <v>618</v>
      </c>
      <c r="F13" s="203">
        <v>7400</v>
      </c>
      <c r="G13" s="266">
        <v>11</v>
      </c>
      <c r="H13" s="322">
        <v>11.5</v>
      </c>
      <c r="I13" s="322">
        <v>12.1</v>
      </c>
      <c r="J13" s="322">
        <v>11.5</v>
      </c>
      <c r="K13" s="322">
        <v>12.1</v>
      </c>
      <c r="L13" s="266">
        <v>8</v>
      </c>
    </row>
    <row r="14" spans="1:12" s="9" customFormat="1" ht="12" customHeight="1">
      <c r="A14" s="589"/>
      <c r="B14" s="569"/>
      <c r="C14" s="324" t="s">
        <v>8</v>
      </c>
      <c r="D14" s="325" t="s">
        <v>450</v>
      </c>
      <c r="E14" s="266">
        <v>165.457</v>
      </c>
      <c r="F14" s="203">
        <v>4196</v>
      </c>
      <c r="G14" s="266">
        <v>63</v>
      </c>
      <c r="H14" s="322">
        <v>24.85</v>
      </c>
      <c r="I14" s="322">
        <v>25.65</v>
      </c>
      <c r="J14" s="322">
        <v>24.85</v>
      </c>
      <c r="K14" s="322">
        <v>25.5</v>
      </c>
      <c r="L14" s="266">
        <v>37</v>
      </c>
    </row>
    <row r="15" spans="1:12" s="9" customFormat="1" ht="12" customHeight="1">
      <c r="A15" s="589"/>
      <c r="B15" s="569"/>
      <c r="C15" s="324" t="s">
        <v>9</v>
      </c>
      <c r="D15" s="325" t="s">
        <v>450</v>
      </c>
      <c r="E15" s="266">
        <v>96.2</v>
      </c>
      <c r="F15" s="203">
        <v>2414</v>
      </c>
      <c r="G15" s="266">
        <v>34</v>
      </c>
      <c r="H15" s="322">
        <v>25</v>
      </c>
      <c r="I15" s="322">
        <v>25.3</v>
      </c>
      <c r="J15" s="322">
        <v>25</v>
      </c>
      <c r="K15" s="322">
        <v>25.25</v>
      </c>
      <c r="L15" s="266">
        <v>25</v>
      </c>
    </row>
    <row r="16" spans="1:12" s="9" customFormat="1" ht="12" customHeight="1">
      <c r="A16" s="589"/>
      <c r="B16" s="569"/>
      <c r="C16" s="324" t="s">
        <v>10</v>
      </c>
      <c r="D16" s="325" t="s">
        <v>450</v>
      </c>
      <c r="E16" s="266">
        <v>9964.888</v>
      </c>
      <c r="F16" s="203">
        <v>23602</v>
      </c>
      <c r="G16" s="266">
        <v>1400</v>
      </c>
      <c r="H16" s="322">
        <v>2.21</v>
      </c>
      <c r="I16" s="322">
        <v>3.23</v>
      </c>
      <c r="J16" s="322">
        <v>1.58</v>
      </c>
      <c r="K16" s="322">
        <v>1.6</v>
      </c>
      <c r="L16" s="266">
        <v>216</v>
      </c>
    </row>
    <row r="17" spans="1:12" s="9" customFormat="1" ht="12" customHeight="1">
      <c r="A17" s="589"/>
      <c r="B17" s="569"/>
      <c r="C17" s="324" t="s">
        <v>11</v>
      </c>
      <c r="D17" s="325" t="s">
        <v>450</v>
      </c>
      <c r="E17" s="266">
        <v>26.168</v>
      </c>
      <c r="F17" s="203">
        <v>2669</v>
      </c>
      <c r="G17" s="266">
        <v>108</v>
      </c>
      <c r="H17" s="322">
        <v>104.1</v>
      </c>
      <c r="I17" s="322">
        <v>105.2</v>
      </c>
      <c r="J17" s="322">
        <v>101</v>
      </c>
      <c r="K17" s="322">
        <v>104</v>
      </c>
      <c r="L17" s="266">
        <v>55</v>
      </c>
    </row>
    <row r="18" spans="1:12" s="9" customFormat="1" ht="12" customHeight="1">
      <c r="A18" s="589"/>
      <c r="B18" s="569"/>
      <c r="C18" s="324" t="s">
        <v>296</v>
      </c>
      <c r="D18" s="325" t="s">
        <v>450</v>
      </c>
      <c r="E18" s="266">
        <v>6.35</v>
      </c>
      <c r="F18" s="203">
        <v>631</v>
      </c>
      <c r="G18" s="266">
        <v>10</v>
      </c>
      <c r="H18" s="322">
        <v>100</v>
      </c>
      <c r="I18" s="322">
        <v>100</v>
      </c>
      <c r="J18" s="322">
        <v>97.9</v>
      </c>
      <c r="K18" s="322">
        <v>97.9</v>
      </c>
      <c r="L18" s="266">
        <v>8</v>
      </c>
    </row>
    <row r="19" spans="1:12" s="9" customFormat="1" ht="12" customHeight="1">
      <c r="A19" s="589"/>
      <c r="B19" s="569"/>
      <c r="C19" s="324" t="s">
        <v>12</v>
      </c>
      <c r="D19" s="325" t="s">
        <v>450</v>
      </c>
      <c r="E19" s="266">
        <v>5760.377</v>
      </c>
      <c r="F19" s="203">
        <v>14102</v>
      </c>
      <c r="G19" s="266">
        <v>797</v>
      </c>
      <c r="H19" s="322">
        <v>2.2</v>
      </c>
      <c r="I19" s="322">
        <v>3.1</v>
      </c>
      <c r="J19" s="322">
        <v>1.54</v>
      </c>
      <c r="K19" s="322">
        <v>1.64</v>
      </c>
      <c r="L19" s="266">
        <v>177</v>
      </c>
    </row>
    <row r="20" spans="1:12" s="9" customFormat="1" ht="12" customHeight="1">
      <c r="A20" s="589"/>
      <c r="B20" s="569"/>
      <c r="C20" s="324" t="s">
        <v>13</v>
      </c>
      <c r="D20" s="325" t="s">
        <v>450</v>
      </c>
      <c r="E20" s="266">
        <v>428.757</v>
      </c>
      <c r="F20" s="203">
        <v>2002</v>
      </c>
      <c r="G20" s="266">
        <v>29</v>
      </c>
      <c r="H20" s="322">
        <v>4.4</v>
      </c>
      <c r="I20" s="322">
        <v>5</v>
      </c>
      <c r="J20" s="322">
        <v>4</v>
      </c>
      <c r="K20" s="322">
        <v>4.83</v>
      </c>
      <c r="L20" s="266">
        <v>21</v>
      </c>
    </row>
    <row r="21" spans="1:12" s="9" customFormat="1" ht="12" customHeight="1">
      <c r="A21" s="589"/>
      <c r="B21" s="569"/>
      <c r="C21" s="324" t="s">
        <v>14</v>
      </c>
      <c r="D21" s="325" t="s">
        <v>450</v>
      </c>
      <c r="E21" s="266">
        <v>33.05</v>
      </c>
      <c r="F21" s="203">
        <v>3350</v>
      </c>
      <c r="G21" s="266">
        <v>24</v>
      </c>
      <c r="H21" s="322">
        <v>102</v>
      </c>
      <c r="I21" s="322">
        <v>102</v>
      </c>
      <c r="J21" s="322">
        <v>100</v>
      </c>
      <c r="K21" s="322">
        <v>100</v>
      </c>
      <c r="L21" s="266">
        <v>14</v>
      </c>
    </row>
    <row r="22" spans="1:12" s="9" customFormat="1" ht="12" customHeight="1">
      <c r="A22" s="589"/>
      <c r="B22" s="569"/>
      <c r="C22" s="324" t="s">
        <v>15</v>
      </c>
      <c r="D22" s="325" t="s">
        <v>450</v>
      </c>
      <c r="E22" s="266">
        <v>884.234</v>
      </c>
      <c r="F22" s="203">
        <v>83681</v>
      </c>
      <c r="G22" s="266">
        <v>1874</v>
      </c>
      <c r="H22" s="322">
        <v>89.1</v>
      </c>
      <c r="I22" s="322">
        <v>109.9</v>
      </c>
      <c r="J22" s="322">
        <v>60.05</v>
      </c>
      <c r="K22" s="322">
        <v>72.85</v>
      </c>
      <c r="L22" s="266">
        <v>223</v>
      </c>
    </row>
    <row r="23" spans="1:12" s="9" customFormat="1" ht="12" customHeight="1">
      <c r="A23" s="589"/>
      <c r="B23" s="569"/>
      <c r="C23" s="324" t="s">
        <v>16</v>
      </c>
      <c r="D23" s="325" t="s">
        <v>450</v>
      </c>
      <c r="E23" s="266">
        <v>268.015</v>
      </c>
      <c r="F23" s="203">
        <v>23024</v>
      </c>
      <c r="G23" s="266">
        <v>58</v>
      </c>
      <c r="H23" s="322">
        <v>84</v>
      </c>
      <c r="I23" s="322">
        <v>100</v>
      </c>
      <c r="J23" s="322">
        <v>70</v>
      </c>
      <c r="K23" s="322">
        <v>74.75</v>
      </c>
      <c r="L23" s="266">
        <v>29</v>
      </c>
    </row>
    <row r="24" spans="1:12" s="9" customFormat="1" ht="12" customHeight="1">
      <c r="A24" s="589"/>
      <c r="B24" s="569"/>
      <c r="C24" s="324" t="s">
        <v>17</v>
      </c>
      <c r="D24" s="325" t="s">
        <v>450</v>
      </c>
      <c r="E24" s="266">
        <v>1.2</v>
      </c>
      <c r="F24" s="203">
        <v>122</v>
      </c>
      <c r="G24" s="266">
        <v>1</v>
      </c>
      <c r="H24" s="322">
        <v>102</v>
      </c>
      <c r="I24" s="322">
        <v>102</v>
      </c>
      <c r="J24" s="322">
        <v>102</v>
      </c>
      <c r="K24" s="322" t="s">
        <v>300</v>
      </c>
      <c r="L24" s="266">
        <v>1</v>
      </c>
    </row>
    <row r="25" spans="1:12" s="9" customFormat="1" ht="12" customHeight="1">
      <c r="A25" s="589"/>
      <c r="B25" s="569"/>
      <c r="C25" s="324" t="s">
        <v>18</v>
      </c>
      <c r="D25" s="325" t="s">
        <v>450</v>
      </c>
      <c r="E25" s="266">
        <v>58.487</v>
      </c>
      <c r="F25" s="203">
        <v>5918</v>
      </c>
      <c r="G25" s="266">
        <v>47</v>
      </c>
      <c r="H25" s="322">
        <v>101.2</v>
      </c>
      <c r="I25" s="322">
        <v>103</v>
      </c>
      <c r="J25" s="322">
        <v>100.7</v>
      </c>
      <c r="K25" s="322">
        <v>101</v>
      </c>
      <c r="L25" s="266">
        <v>27</v>
      </c>
    </row>
    <row r="26" spans="1:12" s="9" customFormat="1" ht="12" customHeight="1" thickBot="1">
      <c r="A26" s="589"/>
      <c r="B26" s="570"/>
      <c r="C26" s="326" t="s">
        <v>19</v>
      </c>
      <c r="D26" s="321" t="s">
        <v>450</v>
      </c>
      <c r="E26" s="268">
        <v>23.353</v>
      </c>
      <c r="F26" s="205">
        <v>2371</v>
      </c>
      <c r="G26" s="268">
        <v>17</v>
      </c>
      <c r="H26" s="317">
        <v>101.2</v>
      </c>
      <c r="I26" s="317">
        <v>107.7</v>
      </c>
      <c r="J26" s="317">
        <v>101.2</v>
      </c>
      <c r="K26" s="317">
        <v>101.7</v>
      </c>
      <c r="L26" s="268">
        <v>15</v>
      </c>
    </row>
    <row r="27" spans="1:12" s="9" customFormat="1" ht="12" customHeight="1">
      <c r="A27" s="588"/>
      <c r="B27" s="575" t="s">
        <v>195</v>
      </c>
      <c r="C27" s="323" t="s">
        <v>469</v>
      </c>
      <c r="D27" s="319" t="s">
        <v>450</v>
      </c>
      <c r="E27" s="273">
        <v>2189.8</v>
      </c>
      <c r="F27" s="198">
        <v>3904</v>
      </c>
      <c r="G27" s="273">
        <v>19</v>
      </c>
      <c r="H27" s="316">
        <v>1.5</v>
      </c>
      <c r="I27" s="316">
        <v>2.1</v>
      </c>
      <c r="J27" s="316">
        <v>1.5</v>
      </c>
      <c r="K27" s="316">
        <v>2.1</v>
      </c>
      <c r="L27" s="273">
        <v>13</v>
      </c>
    </row>
    <row r="28" spans="1:12" s="9" customFormat="1" ht="12" customHeight="1">
      <c r="A28" s="588"/>
      <c r="B28" s="576"/>
      <c r="C28" s="324" t="s">
        <v>288</v>
      </c>
      <c r="D28" s="325" t="s">
        <v>450</v>
      </c>
      <c r="E28" s="266">
        <v>275.785</v>
      </c>
      <c r="F28" s="203">
        <v>5545</v>
      </c>
      <c r="G28" s="266">
        <v>439</v>
      </c>
      <c r="H28" s="322">
        <v>20.01</v>
      </c>
      <c r="I28" s="322">
        <v>25.1</v>
      </c>
      <c r="J28" s="322">
        <v>14.5</v>
      </c>
      <c r="K28" s="322">
        <v>15.93</v>
      </c>
      <c r="L28" s="266">
        <v>132</v>
      </c>
    </row>
    <row r="29" spans="1:12" s="9" customFormat="1" ht="12" customHeight="1">
      <c r="A29" s="588"/>
      <c r="B29" s="576"/>
      <c r="C29" s="324" t="s">
        <v>196</v>
      </c>
      <c r="D29" s="325" t="s">
        <v>450</v>
      </c>
      <c r="E29" s="266">
        <v>205.828</v>
      </c>
      <c r="F29" s="203">
        <v>404</v>
      </c>
      <c r="G29" s="266">
        <v>31</v>
      </c>
      <c r="H29" s="322">
        <v>1.9</v>
      </c>
      <c r="I29" s="322">
        <v>2.15</v>
      </c>
      <c r="J29" s="322">
        <v>1.9</v>
      </c>
      <c r="K29" s="322">
        <v>2.09</v>
      </c>
      <c r="L29" s="266">
        <v>15</v>
      </c>
    </row>
    <row r="30" spans="1:12" s="9" customFormat="1" ht="12" customHeight="1">
      <c r="A30" s="588"/>
      <c r="B30" s="576"/>
      <c r="C30" s="324" t="s">
        <v>197</v>
      </c>
      <c r="D30" s="325" t="s">
        <v>450</v>
      </c>
      <c r="E30" s="266">
        <v>5</v>
      </c>
      <c r="F30" s="203">
        <v>10</v>
      </c>
      <c r="G30" s="266">
        <v>1</v>
      </c>
      <c r="H30" s="322">
        <v>1.9</v>
      </c>
      <c r="I30" s="322">
        <v>1.9</v>
      </c>
      <c r="J30" s="322">
        <v>1.9</v>
      </c>
      <c r="K30" s="322">
        <v>1.9</v>
      </c>
      <c r="L30" s="266">
        <v>1</v>
      </c>
    </row>
    <row r="31" spans="1:12" s="9" customFormat="1" ht="12" customHeight="1">
      <c r="A31" s="588"/>
      <c r="B31" s="576"/>
      <c r="C31" s="324" t="s">
        <v>198</v>
      </c>
      <c r="D31" s="325" t="s">
        <v>450</v>
      </c>
      <c r="E31" s="266">
        <v>234</v>
      </c>
      <c r="F31" s="203">
        <v>26</v>
      </c>
      <c r="G31" s="266">
        <v>1</v>
      </c>
      <c r="H31" s="322">
        <v>0.1</v>
      </c>
      <c r="I31" s="322">
        <v>0.11</v>
      </c>
      <c r="J31" s="322">
        <v>0.11</v>
      </c>
      <c r="K31" s="322">
        <v>0.11</v>
      </c>
      <c r="L31" s="266">
        <v>1</v>
      </c>
    </row>
    <row r="32" spans="1:12" s="9" customFormat="1" ht="12" customHeight="1" thickBot="1">
      <c r="A32" s="588"/>
      <c r="B32" s="577"/>
      <c r="C32" s="326" t="s">
        <v>210</v>
      </c>
      <c r="D32" s="321" t="s">
        <v>450</v>
      </c>
      <c r="E32" s="268">
        <v>0</v>
      </c>
      <c r="F32" s="205">
        <v>0</v>
      </c>
      <c r="G32" s="268">
        <v>0</v>
      </c>
      <c r="H32" s="317">
        <v>0</v>
      </c>
      <c r="I32" s="317">
        <v>0</v>
      </c>
      <c r="J32" s="317">
        <v>0</v>
      </c>
      <c r="K32" s="317">
        <v>1.7</v>
      </c>
      <c r="L32" s="268">
        <v>0</v>
      </c>
    </row>
    <row r="33" spans="1:12" s="9" customFormat="1" ht="12" customHeight="1">
      <c r="A33" s="589"/>
      <c r="B33" s="558" t="s">
        <v>200</v>
      </c>
      <c r="C33" s="323" t="s">
        <v>289</v>
      </c>
      <c r="D33" s="319" t="s">
        <v>450</v>
      </c>
      <c r="E33" s="273">
        <v>7.07</v>
      </c>
      <c r="F33" s="198">
        <v>724</v>
      </c>
      <c r="G33" s="273">
        <v>28</v>
      </c>
      <c r="H33" s="316">
        <v>101</v>
      </c>
      <c r="I33" s="316">
        <v>105.5</v>
      </c>
      <c r="J33" s="316">
        <v>101</v>
      </c>
      <c r="K33" s="316" t="s">
        <v>300</v>
      </c>
      <c r="L33" s="273">
        <v>19</v>
      </c>
    </row>
    <row r="34" spans="1:12" s="9" customFormat="1" ht="12" customHeight="1">
      <c r="A34" s="589"/>
      <c r="B34" s="558"/>
      <c r="C34" s="324" t="s">
        <v>292</v>
      </c>
      <c r="D34" s="325" t="s">
        <v>450</v>
      </c>
      <c r="E34" s="266">
        <v>29.688</v>
      </c>
      <c r="F34" s="203">
        <v>2999</v>
      </c>
      <c r="G34" s="266">
        <v>68</v>
      </c>
      <c r="H34" s="322">
        <v>100.1</v>
      </c>
      <c r="I34" s="322">
        <v>104.5</v>
      </c>
      <c r="J34" s="322">
        <v>100</v>
      </c>
      <c r="K34" s="322">
        <v>100.2</v>
      </c>
      <c r="L34" s="266">
        <v>38</v>
      </c>
    </row>
    <row r="35" spans="1:12" s="9" customFormat="1" ht="12" customHeight="1">
      <c r="A35" s="589"/>
      <c r="B35" s="558"/>
      <c r="C35" s="324" t="s">
        <v>290</v>
      </c>
      <c r="D35" s="325" t="s">
        <v>450</v>
      </c>
      <c r="E35" s="266">
        <v>12.022</v>
      </c>
      <c r="F35" s="203">
        <v>821.966832504146</v>
      </c>
      <c r="G35" s="266">
        <v>20</v>
      </c>
      <c r="H35" s="322">
        <f>101700/1507.5</f>
        <v>67.46268656716418</v>
      </c>
      <c r="I35" s="322">
        <f>106000/1507.5</f>
        <v>70.3150912106136</v>
      </c>
      <c r="J35" s="322">
        <f>101700/1507.5</f>
        <v>67.46268656716418</v>
      </c>
      <c r="K35" s="322" t="s">
        <v>300</v>
      </c>
      <c r="L35" s="266">
        <v>17</v>
      </c>
    </row>
    <row r="36" spans="1:12" s="9" customFormat="1" ht="12" customHeight="1" thickBot="1">
      <c r="A36" s="589"/>
      <c r="B36" s="559"/>
      <c r="C36" s="326" t="s">
        <v>291</v>
      </c>
      <c r="D36" s="321" t="s">
        <v>450</v>
      </c>
      <c r="E36" s="268">
        <v>20.035</v>
      </c>
      <c r="F36" s="205">
        <v>1400.153897180763</v>
      </c>
      <c r="G36" s="268">
        <v>29</v>
      </c>
      <c r="H36" s="317">
        <f>109500/1507.5</f>
        <v>72.636815920398</v>
      </c>
      <c r="I36" s="317">
        <f>112200/1507.5</f>
        <v>74.42786069651741</v>
      </c>
      <c r="J36" s="317">
        <f>102000/1507.5</f>
        <v>67.66169154228855</v>
      </c>
      <c r="K36" s="317">
        <f>112200/1507.5</f>
        <v>74.42786069651741</v>
      </c>
      <c r="L36" s="268">
        <v>24</v>
      </c>
    </row>
    <row r="37" spans="1:12" ht="12" customHeight="1" thickBot="1">
      <c r="A37" s="510" t="s">
        <v>201</v>
      </c>
      <c r="B37" s="511"/>
      <c r="C37" s="511"/>
      <c r="D37" s="328" t="s">
        <v>450</v>
      </c>
      <c r="E37" s="327">
        <v>105517.848</v>
      </c>
      <c r="F37" s="287">
        <f>F5+F6+F7+F8+F9+F10+F11+F12+F13+F14+F15+F16+F17+F18+F19+F20+F21+F22+F23+F24+F25+F26+F27+F28+F29+F30+F31+F32+F33+F34+F35+F36</f>
        <v>1710411.1207296848</v>
      </c>
      <c r="G37" s="287">
        <f>G5+G6+G7+G8+G9+G10+G11+G12+G13+G14+G15+G16+G17+G18+G19+G20+G21+G22+G23+G24+G25+G26+G27+G28+G29+G30+G31+G32+G33+G34+G35+G36</f>
        <v>43077</v>
      </c>
      <c r="H37" s="418"/>
      <c r="I37" s="418"/>
      <c r="J37" s="418"/>
      <c r="K37" s="418"/>
      <c r="L37" s="287"/>
    </row>
  </sheetData>
  <sheetProtection/>
  <mergeCells count="6">
    <mergeCell ref="A37:C37"/>
    <mergeCell ref="A4:A36"/>
    <mergeCell ref="B5:B6"/>
    <mergeCell ref="B7:B26"/>
    <mergeCell ref="B27:B32"/>
    <mergeCell ref="B33:B36"/>
  </mergeCells>
  <printOptions horizontalCentered="1"/>
  <pageMargins left="0" right="0" top="0.5" bottom="0.5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W38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5.57421875" style="21" customWidth="1"/>
    <col min="2" max="2" width="23.7109375" style="56" customWidth="1"/>
    <col min="3" max="3" width="8.7109375" style="13" customWidth="1"/>
    <col min="4" max="14" width="8.7109375" style="2" customWidth="1"/>
    <col min="15" max="15" width="8.7109375" style="5" customWidth="1"/>
    <col min="16" max="16384" width="9.140625" style="5" customWidth="1"/>
  </cols>
  <sheetData>
    <row r="1" spans="1:23" ht="19.5" customHeight="1">
      <c r="A1" s="514" t="s">
        <v>238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36"/>
      <c r="Q1" s="36"/>
      <c r="R1" s="36"/>
      <c r="S1" s="36"/>
      <c r="T1" s="36"/>
      <c r="U1" s="36"/>
      <c r="V1" s="36"/>
      <c r="W1" s="36"/>
    </row>
    <row r="2" spans="1:23" ht="12.75">
      <c r="A2" s="14" t="s">
        <v>189</v>
      </c>
      <c r="M2" s="21"/>
      <c r="N2" s="13"/>
      <c r="O2" s="13"/>
      <c r="P2" s="2"/>
      <c r="Q2" s="2"/>
      <c r="R2" s="2"/>
      <c r="S2" s="2"/>
      <c r="T2" s="2"/>
      <c r="U2" s="2"/>
      <c r="V2" s="2"/>
      <c r="W2" s="2"/>
    </row>
    <row r="3" spans="1:23" ht="6.75" customHeight="1" thickBot="1">
      <c r="A3" s="14"/>
      <c r="M3" s="21"/>
      <c r="N3" s="13"/>
      <c r="O3" s="13"/>
      <c r="P3" s="2"/>
      <c r="Q3" s="2"/>
      <c r="R3" s="2"/>
      <c r="S3" s="2"/>
      <c r="T3" s="2"/>
      <c r="U3" s="2"/>
      <c r="V3" s="2"/>
      <c r="W3" s="2"/>
    </row>
    <row r="4" spans="1:23" ht="13.5" thickBot="1">
      <c r="A4" s="14"/>
      <c r="D4" s="458">
        <v>2008</v>
      </c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2"/>
      <c r="Q4" s="2"/>
      <c r="R4" s="2"/>
      <c r="S4" s="2"/>
      <c r="T4" s="2"/>
      <c r="U4" s="2"/>
      <c r="V4" s="2"/>
      <c r="W4" s="2"/>
    </row>
    <row r="5" spans="1:15" s="21" customFormat="1" ht="48" thickBot="1">
      <c r="A5" s="88" t="s">
        <v>227</v>
      </c>
      <c r="B5" s="182" t="s">
        <v>228</v>
      </c>
      <c r="C5" s="332" t="s">
        <v>236</v>
      </c>
      <c r="D5" s="67" t="s">
        <v>304</v>
      </c>
      <c r="E5" s="67" t="s">
        <v>305</v>
      </c>
      <c r="F5" s="67" t="s">
        <v>306</v>
      </c>
      <c r="G5" s="67" t="s">
        <v>307</v>
      </c>
      <c r="H5" s="67" t="s">
        <v>308</v>
      </c>
      <c r="I5" s="67" t="s">
        <v>309</v>
      </c>
      <c r="J5" s="67" t="s">
        <v>310</v>
      </c>
      <c r="K5" s="67" t="s">
        <v>311</v>
      </c>
      <c r="L5" s="67" t="s">
        <v>312</v>
      </c>
      <c r="M5" s="67" t="s">
        <v>313</v>
      </c>
      <c r="N5" s="67" t="s">
        <v>314</v>
      </c>
      <c r="O5" s="67" t="s">
        <v>315</v>
      </c>
    </row>
    <row r="6" spans="1:15" ht="33.75" customHeight="1">
      <c r="A6" s="575" t="s">
        <v>190</v>
      </c>
      <c r="B6" s="323" t="s">
        <v>191</v>
      </c>
      <c r="C6" s="319" t="s">
        <v>450</v>
      </c>
      <c r="D6" s="333">
        <v>21.45</v>
      </c>
      <c r="E6" s="334">
        <v>20.54</v>
      </c>
      <c r="F6" s="333">
        <v>22</v>
      </c>
      <c r="G6" s="333">
        <v>24.15</v>
      </c>
      <c r="H6" s="333">
        <v>33.35</v>
      </c>
      <c r="I6" s="333">
        <v>37.17</v>
      </c>
      <c r="J6" s="333">
        <v>36.3</v>
      </c>
      <c r="K6" s="333">
        <v>29.11</v>
      </c>
      <c r="L6" s="334">
        <v>28.73</v>
      </c>
      <c r="M6" s="334">
        <v>22.73</v>
      </c>
      <c r="N6" s="334">
        <v>17.46</v>
      </c>
      <c r="O6" s="152">
        <v>16.54</v>
      </c>
    </row>
    <row r="7" spans="1:15" s="15" customFormat="1" ht="33.75" customHeight="1" thickBot="1">
      <c r="A7" s="577"/>
      <c r="B7" s="326" t="s">
        <v>192</v>
      </c>
      <c r="C7" s="321" t="s">
        <v>450</v>
      </c>
      <c r="D7" s="335">
        <v>21.51</v>
      </c>
      <c r="E7" s="336">
        <v>20.87</v>
      </c>
      <c r="F7" s="335">
        <v>21.99</v>
      </c>
      <c r="G7" s="335">
        <v>24.11</v>
      </c>
      <c r="H7" s="335">
        <v>33.2</v>
      </c>
      <c r="I7" s="335">
        <v>37.27</v>
      </c>
      <c r="J7" s="335">
        <v>36.34</v>
      </c>
      <c r="K7" s="335">
        <v>28.84</v>
      </c>
      <c r="L7" s="337">
        <v>28.34</v>
      </c>
      <c r="M7" s="337">
        <v>22.64</v>
      </c>
      <c r="N7" s="337">
        <v>17.33</v>
      </c>
      <c r="O7" s="337">
        <v>16.7</v>
      </c>
    </row>
    <row r="8" spans="1:15" s="9" customFormat="1" ht="11.25">
      <c r="A8" s="578" t="s">
        <v>427</v>
      </c>
      <c r="B8" s="323" t="s">
        <v>1</v>
      </c>
      <c r="C8" s="319" t="s">
        <v>450</v>
      </c>
      <c r="D8" s="338">
        <v>8</v>
      </c>
      <c r="E8" s="334">
        <v>8</v>
      </c>
      <c r="F8" s="338">
        <v>7.5</v>
      </c>
      <c r="G8" s="338">
        <v>7.5</v>
      </c>
      <c r="H8" s="338">
        <v>7.5</v>
      </c>
      <c r="I8" s="338">
        <v>7.5</v>
      </c>
      <c r="J8" s="338">
        <v>7.5</v>
      </c>
      <c r="K8" s="338">
        <v>7.5</v>
      </c>
      <c r="L8" s="338">
        <v>7.5</v>
      </c>
      <c r="M8" s="152">
        <v>1.52</v>
      </c>
      <c r="N8" s="152">
        <v>1.9</v>
      </c>
      <c r="O8" s="152">
        <v>1.9</v>
      </c>
    </row>
    <row r="9" spans="1:15" s="9" customFormat="1" ht="11.25">
      <c r="A9" s="579"/>
      <c r="B9" s="324" t="s">
        <v>2</v>
      </c>
      <c r="C9" s="325" t="s">
        <v>450</v>
      </c>
      <c r="D9" s="339">
        <v>70</v>
      </c>
      <c r="E9" s="154">
        <v>70</v>
      </c>
      <c r="F9" s="339">
        <v>82.8</v>
      </c>
      <c r="G9" s="339">
        <v>81.1</v>
      </c>
      <c r="H9" s="339">
        <v>95</v>
      </c>
      <c r="I9" s="339">
        <v>94</v>
      </c>
      <c r="J9" s="339">
        <v>93.95</v>
      </c>
      <c r="K9" s="339">
        <v>89.7</v>
      </c>
      <c r="L9" s="153">
        <v>84.75</v>
      </c>
      <c r="M9" s="153">
        <v>70</v>
      </c>
      <c r="N9" s="153">
        <v>55.3</v>
      </c>
      <c r="O9" s="153">
        <v>52</v>
      </c>
    </row>
    <row r="10" spans="1:15" s="9" customFormat="1" ht="11.25">
      <c r="A10" s="579"/>
      <c r="B10" s="324" t="s">
        <v>3</v>
      </c>
      <c r="C10" s="325" t="s">
        <v>450</v>
      </c>
      <c r="D10" s="339">
        <v>74.1</v>
      </c>
      <c r="E10" s="154">
        <v>72</v>
      </c>
      <c r="F10" s="339">
        <v>88.2</v>
      </c>
      <c r="G10" s="339">
        <v>97.7</v>
      </c>
      <c r="H10" s="339">
        <v>99.9</v>
      </c>
      <c r="I10" s="339">
        <v>100</v>
      </c>
      <c r="J10" s="339">
        <v>93.95</v>
      </c>
      <c r="K10" s="339">
        <v>88.5</v>
      </c>
      <c r="L10" s="153">
        <v>83.1</v>
      </c>
      <c r="M10" s="153">
        <v>69</v>
      </c>
      <c r="N10" s="153">
        <v>56.15</v>
      </c>
      <c r="O10" s="153">
        <v>53.45</v>
      </c>
    </row>
    <row r="11" spans="1:15" s="9" customFormat="1" ht="11.25">
      <c r="A11" s="579"/>
      <c r="B11" s="324" t="s">
        <v>4</v>
      </c>
      <c r="C11" s="325" t="s">
        <v>450</v>
      </c>
      <c r="D11" s="339">
        <v>26.3</v>
      </c>
      <c r="E11" s="154">
        <v>27.25</v>
      </c>
      <c r="F11" s="339">
        <v>27.25</v>
      </c>
      <c r="G11" s="339">
        <v>27.25</v>
      </c>
      <c r="H11" s="339">
        <v>25</v>
      </c>
      <c r="I11" s="339">
        <v>25.05</v>
      </c>
      <c r="J11" s="339">
        <v>25.2</v>
      </c>
      <c r="K11" s="339">
        <v>25.1</v>
      </c>
      <c r="L11" s="153">
        <v>25</v>
      </c>
      <c r="M11" s="153">
        <v>25</v>
      </c>
      <c r="N11" s="153">
        <v>25.75</v>
      </c>
      <c r="O11" s="153">
        <v>25.25</v>
      </c>
    </row>
    <row r="12" spans="1:15" s="9" customFormat="1" ht="11.25">
      <c r="A12" s="579"/>
      <c r="B12" s="324" t="s">
        <v>5</v>
      </c>
      <c r="C12" s="325" t="s">
        <v>450</v>
      </c>
      <c r="D12" s="339">
        <v>101.5</v>
      </c>
      <c r="E12" s="154">
        <v>105.5</v>
      </c>
      <c r="F12" s="339">
        <v>105.5</v>
      </c>
      <c r="G12" s="339">
        <v>105.5</v>
      </c>
      <c r="H12" s="339">
        <v>100</v>
      </c>
      <c r="I12" s="339">
        <v>100.9</v>
      </c>
      <c r="J12" s="339">
        <v>100</v>
      </c>
      <c r="K12" s="339">
        <v>100</v>
      </c>
      <c r="L12" s="153">
        <v>100</v>
      </c>
      <c r="M12" s="153">
        <v>100.9</v>
      </c>
      <c r="N12" s="153">
        <v>100.9</v>
      </c>
      <c r="O12" s="153">
        <v>100</v>
      </c>
    </row>
    <row r="13" spans="1:15" s="9" customFormat="1" ht="11.25">
      <c r="A13" s="579"/>
      <c r="B13" s="324" t="s">
        <v>6</v>
      </c>
      <c r="C13" s="325" t="s">
        <v>450</v>
      </c>
      <c r="D13" s="339">
        <v>12.1</v>
      </c>
      <c r="E13" s="154">
        <v>12.83</v>
      </c>
      <c r="F13" s="339">
        <v>13.25</v>
      </c>
      <c r="G13" s="339">
        <v>14</v>
      </c>
      <c r="H13" s="339">
        <v>15.19</v>
      </c>
      <c r="I13" s="339">
        <v>15.5</v>
      </c>
      <c r="J13" s="339">
        <v>16</v>
      </c>
      <c r="K13" s="339">
        <v>16.75</v>
      </c>
      <c r="L13" s="153">
        <v>16.9</v>
      </c>
      <c r="M13" s="153">
        <v>17.6</v>
      </c>
      <c r="N13" s="153">
        <v>18.3</v>
      </c>
      <c r="O13" s="153">
        <v>18.25</v>
      </c>
    </row>
    <row r="14" spans="1:15" s="9" customFormat="1" ht="11.25">
      <c r="A14" s="579"/>
      <c r="B14" s="324" t="s">
        <v>7</v>
      </c>
      <c r="C14" s="325" t="s">
        <v>450</v>
      </c>
      <c r="D14" s="339">
        <v>11.5</v>
      </c>
      <c r="E14" s="154">
        <v>11.5</v>
      </c>
      <c r="F14" s="154">
        <v>11.5</v>
      </c>
      <c r="G14" s="154">
        <v>11.5</v>
      </c>
      <c r="H14" s="154">
        <v>11.5</v>
      </c>
      <c r="I14" s="154">
        <v>11.5</v>
      </c>
      <c r="J14" s="339">
        <v>11.95</v>
      </c>
      <c r="K14" s="339">
        <v>11.95</v>
      </c>
      <c r="L14" s="153">
        <v>12.05</v>
      </c>
      <c r="M14" s="153">
        <v>12.05</v>
      </c>
      <c r="N14" s="153">
        <v>12.1</v>
      </c>
      <c r="O14" s="153">
        <v>12.1</v>
      </c>
    </row>
    <row r="15" spans="1:15" s="9" customFormat="1" ht="11.25">
      <c r="A15" s="579"/>
      <c r="B15" s="324" t="s">
        <v>8</v>
      </c>
      <c r="C15" s="325" t="s">
        <v>450</v>
      </c>
      <c r="D15" s="339">
        <v>24.85</v>
      </c>
      <c r="E15" s="154">
        <v>24.85</v>
      </c>
      <c r="F15" s="339">
        <v>24.85</v>
      </c>
      <c r="G15" s="339">
        <v>25</v>
      </c>
      <c r="H15" s="339">
        <v>25</v>
      </c>
      <c r="I15" s="339">
        <v>25</v>
      </c>
      <c r="J15" s="339">
        <v>25.5</v>
      </c>
      <c r="K15" s="339">
        <v>25</v>
      </c>
      <c r="L15" s="153">
        <v>25.5</v>
      </c>
      <c r="M15" s="153">
        <v>25.5</v>
      </c>
      <c r="N15" s="153">
        <v>25.5</v>
      </c>
      <c r="O15" s="153">
        <v>25.5</v>
      </c>
    </row>
    <row r="16" spans="1:15" s="9" customFormat="1" ht="11.25">
      <c r="A16" s="579"/>
      <c r="B16" s="324" t="s">
        <v>9</v>
      </c>
      <c r="C16" s="325" t="s">
        <v>450</v>
      </c>
      <c r="D16" s="339">
        <v>25</v>
      </c>
      <c r="E16" s="154">
        <v>25</v>
      </c>
      <c r="F16" s="339">
        <v>25.25</v>
      </c>
      <c r="G16" s="339">
        <v>25.1</v>
      </c>
      <c r="H16" s="339">
        <v>25</v>
      </c>
      <c r="I16" s="339">
        <v>25</v>
      </c>
      <c r="J16" s="339">
        <v>25</v>
      </c>
      <c r="K16" s="339">
        <v>25.3</v>
      </c>
      <c r="L16" s="153">
        <v>25.3</v>
      </c>
      <c r="M16" s="153">
        <v>25.25</v>
      </c>
      <c r="N16" s="153">
        <v>25.25</v>
      </c>
      <c r="O16" s="153">
        <v>25.25</v>
      </c>
    </row>
    <row r="17" spans="1:15" s="9" customFormat="1" ht="11.25">
      <c r="A17" s="579"/>
      <c r="B17" s="324" t="s">
        <v>10</v>
      </c>
      <c r="C17" s="325" t="s">
        <v>450</v>
      </c>
      <c r="D17" s="339">
        <v>2.2</v>
      </c>
      <c r="E17" s="154">
        <v>2.24</v>
      </c>
      <c r="F17" s="339">
        <v>2.22</v>
      </c>
      <c r="G17" s="339">
        <v>2.45</v>
      </c>
      <c r="H17" s="339">
        <v>2.71</v>
      </c>
      <c r="I17" s="339">
        <v>2.77</v>
      </c>
      <c r="J17" s="339">
        <v>2.7</v>
      </c>
      <c r="K17" s="339">
        <v>2.32</v>
      </c>
      <c r="L17" s="153">
        <v>2.23</v>
      </c>
      <c r="M17" s="153">
        <v>1.85</v>
      </c>
      <c r="N17" s="153">
        <v>1.64</v>
      </c>
      <c r="O17" s="153">
        <v>1.6</v>
      </c>
    </row>
    <row r="18" spans="1:15" s="9" customFormat="1" ht="11.25">
      <c r="A18" s="579"/>
      <c r="B18" s="324" t="s">
        <v>11</v>
      </c>
      <c r="C18" s="325" t="s">
        <v>450</v>
      </c>
      <c r="D18" s="339">
        <v>140.1</v>
      </c>
      <c r="E18" s="154">
        <v>103.1</v>
      </c>
      <c r="F18" s="339">
        <v>104</v>
      </c>
      <c r="G18" s="339">
        <v>104</v>
      </c>
      <c r="H18" s="339">
        <v>102</v>
      </c>
      <c r="I18" s="339">
        <v>102.2</v>
      </c>
      <c r="J18" s="339">
        <v>101.5</v>
      </c>
      <c r="K18" s="339">
        <v>101.6</v>
      </c>
      <c r="L18" s="153">
        <v>104</v>
      </c>
      <c r="M18" s="153">
        <v>103</v>
      </c>
      <c r="N18" s="153">
        <v>104</v>
      </c>
      <c r="O18" s="153">
        <v>104</v>
      </c>
    </row>
    <row r="19" spans="1:15" s="9" customFormat="1" ht="11.25">
      <c r="A19" s="579"/>
      <c r="B19" s="324" t="s">
        <v>296</v>
      </c>
      <c r="C19" s="325" t="s">
        <v>450</v>
      </c>
      <c r="D19" s="339">
        <v>0</v>
      </c>
      <c r="E19" s="154">
        <v>0</v>
      </c>
      <c r="F19" s="339">
        <v>0</v>
      </c>
      <c r="G19" s="339">
        <v>0</v>
      </c>
      <c r="H19" s="339">
        <v>0</v>
      </c>
      <c r="I19" s="339">
        <v>0</v>
      </c>
      <c r="J19" s="339">
        <v>0</v>
      </c>
      <c r="K19" s="339">
        <v>0</v>
      </c>
      <c r="L19" s="153">
        <v>0</v>
      </c>
      <c r="M19" s="153">
        <v>99.9</v>
      </c>
      <c r="N19" s="153">
        <v>99.9</v>
      </c>
      <c r="O19" s="153">
        <v>97.9</v>
      </c>
    </row>
    <row r="20" spans="1:15" s="9" customFormat="1" ht="11.25">
      <c r="A20" s="579"/>
      <c r="B20" s="324" t="s">
        <v>12</v>
      </c>
      <c r="C20" s="325" t="s">
        <v>450</v>
      </c>
      <c r="D20" s="339">
        <v>2.29</v>
      </c>
      <c r="E20" s="154">
        <v>2.25</v>
      </c>
      <c r="F20" s="339">
        <v>2.28</v>
      </c>
      <c r="G20" s="339">
        <v>2.54</v>
      </c>
      <c r="H20" s="339">
        <v>2.78</v>
      </c>
      <c r="I20" s="339">
        <v>2.78</v>
      </c>
      <c r="J20" s="339">
        <v>2.67</v>
      </c>
      <c r="K20" s="339">
        <v>2.34</v>
      </c>
      <c r="L20" s="153">
        <v>2.35</v>
      </c>
      <c r="M20" s="153">
        <v>1.9</v>
      </c>
      <c r="N20" s="153">
        <v>1.68</v>
      </c>
      <c r="O20" s="153">
        <v>1.64</v>
      </c>
    </row>
    <row r="21" spans="1:15" s="9" customFormat="1" ht="11.25">
      <c r="A21" s="579"/>
      <c r="B21" s="324" t="s">
        <v>13</v>
      </c>
      <c r="C21" s="325" t="s">
        <v>450</v>
      </c>
      <c r="D21" s="339">
        <v>4</v>
      </c>
      <c r="E21" s="154">
        <v>4</v>
      </c>
      <c r="F21" s="339">
        <v>4</v>
      </c>
      <c r="G21" s="339">
        <v>4.1</v>
      </c>
      <c r="H21" s="339">
        <v>4.1</v>
      </c>
      <c r="I21" s="339">
        <v>4.25</v>
      </c>
      <c r="J21" s="339">
        <v>4.6</v>
      </c>
      <c r="K21" s="339">
        <v>4.7</v>
      </c>
      <c r="L21" s="153">
        <v>5</v>
      </c>
      <c r="M21" s="153">
        <v>4.8</v>
      </c>
      <c r="N21" s="153">
        <v>4.85</v>
      </c>
      <c r="O21" s="153">
        <v>4.83</v>
      </c>
    </row>
    <row r="22" spans="1:15" s="9" customFormat="1" ht="11.25">
      <c r="A22" s="579"/>
      <c r="B22" s="324" t="s">
        <v>14</v>
      </c>
      <c r="C22" s="325" t="s">
        <v>450</v>
      </c>
      <c r="D22" s="339">
        <v>102</v>
      </c>
      <c r="E22" s="154">
        <v>102</v>
      </c>
      <c r="F22" s="339">
        <v>102</v>
      </c>
      <c r="G22" s="339">
        <v>102</v>
      </c>
      <c r="H22" s="339">
        <v>102</v>
      </c>
      <c r="I22" s="339">
        <v>102</v>
      </c>
      <c r="J22" s="339">
        <v>100</v>
      </c>
      <c r="K22" s="339">
        <v>100</v>
      </c>
      <c r="L22" s="153">
        <v>100</v>
      </c>
      <c r="M22" s="153">
        <v>100</v>
      </c>
      <c r="N22" s="153">
        <v>100</v>
      </c>
      <c r="O22" s="153">
        <v>100</v>
      </c>
    </row>
    <row r="23" spans="1:15" s="9" customFormat="1" ht="11.25">
      <c r="A23" s="579"/>
      <c r="B23" s="324" t="s">
        <v>15</v>
      </c>
      <c r="C23" s="325" t="s">
        <v>450</v>
      </c>
      <c r="D23" s="339">
        <v>88.55</v>
      </c>
      <c r="E23" s="154">
        <v>88</v>
      </c>
      <c r="F23" s="339">
        <v>92.05</v>
      </c>
      <c r="G23" s="339">
        <v>86.8</v>
      </c>
      <c r="H23" s="339">
        <v>101.5</v>
      </c>
      <c r="I23" s="339">
        <v>103.3</v>
      </c>
      <c r="J23" s="339">
        <v>101.9</v>
      </c>
      <c r="K23" s="339">
        <v>100.3</v>
      </c>
      <c r="L23" s="153">
        <v>90.95</v>
      </c>
      <c r="M23" s="153">
        <v>78</v>
      </c>
      <c r="N23" s="153">
        <v>69.85</v>
      </c>
      <c r="O23" s="153">
        <v>72.85</v>
      </c>
    </row>
    <row r="24" spans="1:15" s="9" customFormat="1" ht="11.25">
      <c r="A24" s="579"/>
      <c r="B24" s="324" t="s">
        <v>16</v>
      </c>
      <c r="C24" s="325" t="s">
        <v>450</v>
      </c>
      <c r="D24" s="339">
        <v>81</v>
      </c>
      <c r="E24" s="154">
        <v>81.55</v>
      </c>
      <c r="F24" s="339">
        <v>80</v>
      </c>
      <c r="G24" s="339">
        <v>89.55</v>
      </c>
      <c r="H24" s="339">
        <v>87</v>
      </c>
      <c r="I24" s="339">
        <v>99.5</v>
      </c>
      <c r="J24" s="339">
        <v>99.5</v>
      </c>
      <c r="K24" s="339">
        <v>96</v>
      </c>
      <c r="L24" s="153">
        <v>90</v>
      </c>
      <c r="M24" s="153">
        <v>83.5</v>
      </c>
      <c r="N24" s="153">
        <v>75</v>
      </c>
      <c r="O24" s="153">
        <v>74.75</v>
      </c>
    </row>
    <row r="25" spans="1:15" s="9" customFormat="1" ht="11.25">
      <c r="A25" s="579"/>
      <c r="B25" s="324" t="s">
        <v>17</v>
      </c>
      <c r="C25" s="325" t="s">
        <v>450</v>
      </c>
      <c r="D25" s="339">
        <v>102</v>
      </c>
      <c r="E25" s="154">
        <v>102</v>
      </c>
      <c r="F25" s="339">
        <v>102</v>
      </c>
      <c r="G25" s="339">
        <v>102</v>
      </c>
      <c r="H25" s="339">
        <v>102</v>
      </c>
      <c r="I25" s="590" t="s">
        <v>300</v>
      </c>
      <c r="J25" s="590"/>
      <c r="K25" s="590"/>
      <c r="L25" s="590"/>
      <c r="M25" s="590"/>
      <c r="N25" s="590"/>
      <c r="O25" s="590"/>
    </row>
    <row r="26" spans="1:15" s="9" customFormat="1" ht="11.25">
      <c r="A26" s="579"/>
      <c r="B26" s="324" t="s">
        <v>18</v>
      </c>
      <c r="C26" s="325" t="s">
        <v>450</v>
      </c>
      <c r="D26" s="339">
        <v>101</v>
      </c>
      <c r="E26" s="154">
        <v>101</v>
      </c>
      <c r="F26" s="339">
        <v>101.2</v>
      </c>
      <c r="G26" s="339">
        <v>101.2</v>
      </c>
      <c r="H26" s="339">
        <v>101.2</v>
      </c>
      <c r="I26" s="339">
        <v>101.5</v>
      </c>
      <c r="J26" s="339">
        <v>101.5</v>
      </c>
      <c r="K26" s="339">
        <v>101</v>
      </c>
      <c r="L26" s="153">
        <v>101</v>
      </c>
      <c r="M26" s="153">
        <v>101</v>
      </c>
      <c r="N26" s="153">
        <v>101</v>
      </c>
      <c r="O26" s="153">
        <v>101</v>
      </c>
    </row>
    <row r="27" spans="1:15" s="9" customFormat="1" ht="12" thickBot="1">
      <c r="A27" s="580"/>
      <c r="B27" s="326" t="s">
        <v>19</v>
      </c>
      <c r="C27" s="321" t="s">
        <v>450</v>
      </c>
      <c r="D27" s="335">
        <v>101.2</v>
      </c>
      <c r="E27" s="336">
        <v>101.2</v>
      </c>
      <c r="F27" s="335">
        <v>101.2</v>
      </c>
      <c r="G27" s="335">
        <v>101.2</v>
      </c>
      <c r="H27" s="335">
        <v>101.2</v>
      </c>
      <c r="I27" s="335">
        <v>101.2</v>
      </c>
      <c r="J27" s="335">
        <v>101.5</v>
      </c>
      <c r="K27" s="335">
        <v>101.7</v>
      </c>
      <c r="L27" s="340">
        <v>101.7</v>
      </c>
      <c r="M27" s="340">
        <v>101.7</v>
      </c>
      <c r="N27" s="340">
        <v>101.7</v>
      </c>
      <c r="O27" s="340">
        <v>101.7</v>
      </c>
    </row>
    <row r="28" spans="1:15" s="9" customFormat="1" ht="11.25">
      <c r="A28" s="575" t="s">
        <v>195</v>
      </c>
      <c r="B28" s="323" t="s">
        <v>469</v>
      </c>
      <c r="C28" s="319" t="s">
        <v>450</v>
      </c>
      <c r="D28" s="338">
        <v>1.35</v>
      </c>
      <c r="E28" s="334">
        <v>1.35</v>
      </c>
      <c r="F28" s="338">
        <v>1.5</v>
      </c>
      <c r="G28" s="338">
        <v>1.65</v>
      </c>
      <c r="H28" s="338">
        <v>1.65</v>
      </c>
      <c r="I28" s="338">
        <v>1.65</v>
      </c>
      <c r="J28" s="338">
        <v>1.65</v>
      </c>
      <c r="K28" s="338">
        <v>1.65</v>
      </c>
      <c r="L28" s="152">
        <v>1.85</v>
      </c>
      <c r="M28" s="152">
        <v>2</v>
      </c>
      <c r="N28" s="152">
        <v>1.86</v>
      </c>
      <c r="O28" s="152">
        <v>2.1</v>
      </c>
    </row>
    <row r="29" spans="1:15" s="9" customFormat="1" ht="11.25">
      <c r="A29" s="576"/>
      <c r="B29" s="324" t="s">
        <v>288</v>
      </c>
      <c r="C29" s="325" t="s">
        <v>450</v>
      </c>
      <c r="D29" s="339">
        <v>19.96</v>
      </c>
      <c r="E29" s="154">
        <v>19.42</v>
      </c>
      <c r="F29" s="339">
        <v>19.75</v>
      </c>
      <c r="G29" s="339">
        <v>21</v>
      </c>
      <c r="H29" s="339">
        <v>22.14</v>
      </c>
      <c r="I29" s="339">
        <v>21.63</v>
      </c>
      <c r="J29" s="339">
        <v>21.2</v>
      </c>
      <c r="K29" s="339">
        <v>20.01</v>
      </c>
      <c r="L29" s="153">
        <v>18</v>
      </c>
      <c r="M29" s="153">
        <v>14.88</v>
      </c>
      <c r="N29" s="153">
        <v>14.75</v>
      </c>
      <c r="O29" s="153">
        <v>15.93</v>
      </c>
    </row>
    <row r="30" spans="1:15" s="9" customFormat="1" ht="11.25">
      <c r="A30" s="576"/>
      <c r="B30" s="324" t="s">
        <v>196</v>
      </c>
      <c r="C30" s="325" t="s">
        <v>450</v>
      </c>
      <c r="D30" s="339">
        <v>1.8</v>
      </c>
      <c r="E30" s="154">
        <v>1.9</v>
      </c>
      <c r="F30" s="339">
        <v>1.9</v>
      </c>
      <c r="G30" s="339">
        <v>1.9</v>
      </c>
      <c r="H30" s="339">
        <v>2.05</v>
      </c>
      <c r="I30" s="339">
        <v>2.06</v>
      </c>
      <c r="J30" s="339">
        <v>2.15</v>
      </c>
      <c r="K30" s="339">
        <v>2.15</v>
      </c>
      <c r="L30" s="153">
        <v>1.9</v>
      </c>
      <c r="M30" s="153">
        <v>2</v>
      </c>
      <c r="N30" s="153">
        <v>2</v>
      </c>
      <c r="O30" s="153">
        <v>2.09</v>
      </c>
    </row>
    <row r="31" spans="1:15" s="9" customFormat="1" ht="11.25">
      <c r="A31" s="576"/>
      <c r="B31" s="324" t="s">
        <v>197</v>
      </c>
      <c r="C31" s="325" t="s">
        <v>450</v>
      </c>
      <c r="D31" s="339">
        <v>1.4</v>
      </c>
      <c r="E31" s="154">
        <v>1.4</v>
      </c>
      <c r="F31" s="154">
        <v>1.4</v>
      </c>
      <c r="G31" s="154">
        <v>1.4</v>
      </c>
      <c r="H31" s="339">
        <v>1.4</v>
      </c>
      <c r="I31" s="339">
        <v>1.9</v>
      </c>
      <c r="J31" s="339">
        <v>1.9</v>
      </c>
      <c r="K31" s="339">
        <v>1.9</v>
      </c>
      <c r="L31" s="339">
        <v>1.9</v>
      </c>
      <c r="M31" s="339">
        <v>1.9</v>
      </c>
      <c r="N31" s="339">
        <v>1.9</v>
      </c>
      <c r="O31" s="153">
        <v>1.9</v>
      </c>
    </row>
    <row r="32" spans="1:15" s="9" customFormat="1" ht="11.25">
      <c r="A32" s="576"/>
      <c r="B32" s="324" t="s">
        <v>198</v>
      </c>
      <c r="C32" s="325" t="s">
        <v>450</v>
      </c>
      <c r="D32" s="339">
        <v>0.45</v>
      </c>
      <c r="E32" s="154">
        <v>0.45</v>
      </c>
      <c r="F32" s="154">
        <v>0.45</v>
      </c>
      <c r="G32" s="154">
        <v>0.45</v>
      </c>
      <c r="H32" s="154">
        <v>0.45</v>
      </c>
      <c r="I32" s="154">
        <v>0.45</v>
      </c>
      <c r="J32" s="154">
        <v>0.45</v>
      </c>
      <c r="K32" s="154">
        <v>0.45</v>
      </c>
      <c r="L32" s="154">
        <v>0.45</v>
      </c>
      <c r="M32" s="154">
        <v>0.45</v>
      </c>
      <c r="N32" s="154">
        <v>0.45</v>
      </c>
      <c r="O32" s="153">
        <v>0.11</v>
      </c>
    </row>
    <row r="33" spans="1:15" s="9" customFormat="1" ht="12" thickBot="1">
      <c r="A33" s="577"/>
      <c r="B33" s="326" t="s">
        <v>210</v>
      </c>
      <c r="C33" s="321" t="s">
        <v>450</v>
      </c>
      <c r="D33" s="335">
        <v>1.7</v>
      </c>
      <c r="E33" s="336">
        <v>1.7</v>
      </c>
      <c r="F33" s="336">
        <v>1.7</v>
      </c>
      <c r="G33" s="336">
        <v>1.7</v>
      </c>
      <c r="H33" s="336">
        <v>1.7</v>
      </c>
      <c r="I33" s="336">
        <v>1.7</v>
      </c>
      <c r="J33" s="336">
        <v>1.7</v>
      </c>
      <c r="K33" s="336">
        <v>1.7</v>
      </c>
      <c r="L33" s="336">
        <v>1.7</v>
      </c>
      <c r="M33" s="336">
        <v>1.7</v>
      </c>
      <c r="N33" s="336">
        <v>1.7</v>
      </c>
      <c r="O33" s="340">
        <v>1.7</v>
      </c>
    </row>
    <row r="34" spans="1:15" s="9" customFormat="1" ht="11.25">
      <c r="A34" s="557" t="s">
        <v>200</v>
      </c>
      <c r="B34" s="323" t="s">
        <v>289</v>
      </c>
      <c r="C34" s="329" t="s">
        <v>450</v>
      </c>
      <c r="D34" s="358">
        <v>101</v>
      </c>
      <c r="E34" s="334">
        <v>102</v>
      </c>
      <c r="F34" s="338">
        <v>102.8</v>
      </c>
      <c r="G34" s="338">
        <v>103.5</v>
      </c>
      <c r="H34" s="338">
        <v>103.5</v>
      </c>
      <c r="I34" s="338">
        <v>103.5</v>
      </c>
      <c r="J34" s="591" t="s">
        <v>300</v>
      </c>
      <c r="K34" s="591"/>
      <c r="L34" s="591"/>
      <c r="M34" s="591"/>
      <c r="N34" s="591"/>
      <c r="O34" s="591"/>
    </row>
    <row r="35" spans="1:15" s="9" customFormat="1" ht="11.25">
      <c r="A35" s="558"/>
      <c r="B35" s="324" t="s">
        <v>292</v>
      </c>
      <c r="C35" s="330" t="s">
        <v>450</v>
      </c>
      <c r="D35" s="407">
        <v>100.2</v>
      </c>
      <c r="E35" s="154">
        <v>100.5</v>
      </c>
      <c r="F35" s="339">
        <v>100.5</v>
      </c>
      <c r="G35" s="339">
        <v>101</v>
      </c>
      <c r="H35" s="339">
        <v>101</v>
      </c>
      <c r="I35" s="339">
        <v>103.7</v>
      </c>
      <c r="J35" s="339">
        <v>104.5</v>
      </c>
      <c r="K35" s="339">
        <v>102</v>
      </c>
      <c r="L35" s="153">
        <v>102</v>
      </c>
      <c r="M35" s="153">
        <v>102</v>
      </c>
      <c r="N35" s="153">
        <v>100.2</v>
      </c>
      <c r="O35" s="153">
        <v>100.2</v>
      </c>
    </row>
    <row r="36" spans="1:15" s="9" customFormat="1" ht="11.25">
      <c r="A36" s="558"/>
      <c r="B36" s="324" t="s">
        <v>290</v>
      </c>
      <c r="C36" s="330" t="s">
        <v>450</v>
      </c>
      <c r="D36" s="407">
        <f>104000/1507.5</f>
        <v>68.98839137645108</v>
      </c>
      <c r="E36" s="154">
        <f>101700/1507.5</f>
        <v>67.46268656716418</v>
      </c>
      <c r="F36" s="339">
        <f>103800/1507.5</f>
        <v>68.85572139303483</v>
      </c>
      <c r="G36" s="339">
        <f>103800/1507.5</f>
        <v>68.85572139303483</v>
      </c>
      <c r="H36" s="339">
        <f>104000/1507.5</f>
        <v>68.98839137645108</v>
      </c>
      <c r="I36" s="339">
        <f>104000/1507.5</f>
        <v>68.98839137645108</v>
      </c>
      <c r="J36" s="339">
        <f>106000/1507.5</f>
        <v>70.3150912106136</v>
      </c>
      <c r="K36" s="339">
        <f>103300/1507.5</f>
        <v>68.5240464344942</v>
      </c>
      <c r="L36" s="339">
        <f>103900/1507.5</f>
        <v>68.92205638474296</v>
      </c>
      <c r="M36" s="339">
        <f>103900/1507.5</f>
        <v>68.92205638474296</v>
      </c>
      <c r="N36" s="339">
        <f>105300/1507.5</f>
        <v>69.85074626865672</v>
      </c>
      <c r="O36" s="438" t="s">
        <v>300</v>
      </c>
    </row>
    <row r="37" spans="1:15" s="9" customFormat="1" ht="12" thickBot="1">
      <c r="A37" s="559"/>
      <c r="B37" s="326" t="s">
        <v>291</v>
      </c>
      <c r="C37" s="331" t="s">
        <v>450</v>
      </c>
      <c r="D37" s="411">
        <f>109500/1507.5</f>
        <v>72.636815920398</v>
      </c>
      <c r="E37" s="336">
        <f>102500/1507.5</f>
        <v>67.99336650082918</v>
      </c>
      <c r="F37" s="336">
        <f>103000/1507.5</f>
        <v>68.32504145936981</v>
      </c>
      <c r="G37" s="336">
        <f>104000/1507.5</f>
        <v>68.98839137645108</v>
      </c>
      <c r="H37" s="336">
        <f>105500/1507.5</f>
        <v>69.98341625207297</v>
      </c>
      <c r="I37" s="336">
        <f>105300/1507.5</f>
        <v>69.85074626865672</v>
      </c>
      <c r="J37" s="336">
        <f>106700/1507.5</f>
        <v>70.77943615257048</v>
      </c>
      <c r="K37" s="336">
        <f>108500/1507.5</f>
        <v>71.97346600331674</v>
      </c>
      <c r="L37" s="336">
        <f>109300/1507.5</f>
        <v>72.50414593698176</v>
      </c>
      <c r="M37" s="336">
        <f>109300/1507.5</f>
        <v>72.50414593698176</v>
      </c>
      <c r="N37" s="336">
        <f>111500/1507.5</f>
        <v>73.96351575456053</v>
      </c>
      <c r="O37" s="340">
        <f>122200/1507.5</f>
        <v>81.06135986733001</v>
      </c>
    </row>
    <row r="38" spans="1:15" ht="13.5" thickBot="1">
      <c r="A38" s="511" t="s">
        <v>239</v>
      </c>
      <c r="B38" s="511"/>
      <c r="C38" s="511"/>
      <c r="D38" s="341">
        <v>1507.5</v>
      </c>
      <c r="E38" s="341">
        <v>1507.5</v>
      </c>
      <c r="F38" s="341">
        <v>1507.5</v>
      </c>
      <c r="G38" s="341">
        <v>1507.5</v>
      </c>
      <c r="H38" s="341">
        <v>1507.5</v>
      </c>
      <c r="I38" s="341">
        <v>1507.5</v>
      </c>
      <c r="J38" s="341">
        <v>1507.5</v>
      </c>
      <c r="K38" s="341">
        <v>1507.5</v>
      </c>
      <c r="L38" s="341">
        <v>1507.5</v>
      </c>
      <c r="M38" s="341">
        <v>1507.5</v>
      </c>
      <c r="N38" s="341">
        <v>1507.5</v>
      </c>
      <c r="O38" s="341">
        <v>1507.5</v>
      </c>
    </row>
  </sheetData>
  <sheetProtection/>
  <mergeCells count="9">
    <mergeCell ref="A1:O1"/>
    <mergeCell ref="D4:O4"/>
    <mergeCell ref="A38:C38"/>
    <mergeCell ref="A6:A7"/>
    <mergeCell ref="A8:A27"/>
    <mergeCell ref="A28:A33"/>
    <mergeCell ref="A34:A37"/>
    <mergeCell ref="I25:O25"/>
    <mergeCell ref="J34:O34"/>
  </mergeCells>
  <printOptions horizontalCentered="1"/>
  <pageMargins left="0" right="0" top="0.5" bottom="0.5" header="0" footer="0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I18"/>
  <sheetViews>
    <sheetView zoomScale="106" zoomScaleNormal="106" zoomScalePageLayoutView="0" workbookViewId="0" topLeftCell="A1">
      <selection activeCell="A1" sqref="A1:I1"/>
    </sheetView>
  </sheetViews>
  <sheetFormatPr defaultColWidth="9.140625" defaultRowHeight="12.75"/>
  <cols>
    <col min="1" max="1" width="3.28125" style="47" bestFit="1" customWidth="1"/>
    <col min="2" max="2" width="13.8515625" style="47" customWidth="1"/>
    <col min="3" max="3" width="15.8515625" style="5" customWidth="1"/>
    <col min="4" max="4" width="15.8515625" style="23" customWidth="1"/>
    <col min="5" max="9" width="15.8515625" style="47" customWidth="1"/>
    <col min="10" max="16384" width="9.140625" style="47" customWidth="1"/>
  </cols>
  <sheetData>
    <row r="1" spans="1:9" ht="19.5" customHeight="1">
      <c r="A1" s="514" t="s">
        <v>240</v>
      </c>
      <c r="B1" s="514"/>
      <c r="C1" s="514"/>
      <c r="D1" s="514"/>
      <c r="E1" s="514"/>
      <c r="F1" s="514"/>
      <c r="G1" s="514"/>
      <c r="H1" s="514"/>
      <c r="I1" s="514"/>
    </row>
    <row r="2" spans="1:4" ht="12.75">
      <c r="A2" s="14" t="s">
        <v>189</v>
      </c>
      <c r="B2" s="23"/>
      <c r="C2" s="47"/>
      <c r="D2" s="47"/>
    </row>
    <row r="3" spans="1:4" ht="6.75" customHeight="1" thickBot="1">
      <c r="A3" s="14"/>
      <c r="B3" s="23"/>
      <c r="C3" s="47"/>
      <c r="D3" s="47"/>
    </row>
    <row r="4" spans="3:9" ht="13.5" thickBot="1">
      <c r="C4" s="593" t="s">
        <v>241</v>
      </c>
      <c r="D4" s="593"/>
      <c r="E4" s="593"/>
      <c r="F4" s="511" t="s">
        <v>244</v>
      </c>
      <c r="G4" s="511" t="s">
        <v>242</v>
      </c>
      <c r="H4" s="511" t="s">
        <v>243</v>
      </c>
      <c r="I4" s="511" t="s">
        <v>222</v>
      </c>
    </row>
    <row r="5" spans="3:9" ht="21.75" thickBot="1">
      <c r="C5" s="148" t="s">
        <v>242</v>
      </c>
      <c r="D5" s="148" t="s">
        <v>243</v>
      </c>
      <c r="E5" s="148" t="s">
        <v>222</v>
      </c>
      <c r="F5" s="511"/>
      <c r="G5" s="511"/>
      <c r="H5" s="511"/>
      <c r="I5" s="511"/>
    </row>
    <row r="6" spans="1:9" ht="33.75" customHeight="1">
      <c r="A6" s="584" t="s">
        <v>0</v>
      </c>
      <c r="B6" s="169" t="s">
        <v>304</v>
      </c>
      <c r="C6" s="342">
        <v>3696</v>
      </c>
      <c r="D6" s="342">
        <v>203</v>
      </c>
      <c r="E6" s="342">
        <v>131</v>
      </c>
      <c r="F6" s="308">
        <v>21</v>
      </c>
      <c r="G6" s="308">
        <v>77621</v>
      </c>
      <c r="H6" s="308">
        <v>4272</v>
      </c>
      <c r="I6" s="308">
        <v>2751</v>
      </c>
    </row>
    <row r="7" spans="1:9" s="4" customFormat="1" ht="33.75" customHeight="1">
      <c r="A7" s="585"/>
      <c r="B7" s="193" t="s">
        <v>305</v>
      </c>
      <c r="C7" s="343">
        <v>2171</v>
      </c>
      <c r="D7" s="343">
        <v>120</v>
      </c>
      <c r="E7" s="343">
        <v>73</v>
      </c>
      <c r="F7" s="310">
        <v>20</v>
      </c>
      <c r="G7" s="310">
        <v>43415</v>
      </c>
      <c r="H7" s="310">
        <v>2398</v>
      </c>
      <c r="I7" s="310">
        <v>1465</v>
      </c>
    </row>
    <row r="8" spans="1:9" s="4" customFormat="1" ht="33.75" customHeight="1">
      <c r="A8" s="585"/>
      <c r="B8" s="193" t="s">
        <v>306</v>
      </c>
      <c r="C8" s="343">
        <v>2758</v>
      </c>
      <c r="D8" s="343">
        <v>135</v>
      </c>
      <c r="E8" s="343">
        <v>86</v>
      </c>
      <c r="F8" s="310">
        <v>18</v>
      </c>
      <c r="G8" s="310">
        <v>49645</v>
      </c>
      <c r="H8" s="310">
        <v>2428</v>
      </c>
      <c r="I8" s="310">
        <v>1546</v>
      </c>
    </row>
    <row r="9" spans="1:9" s="4" customFormat="1" ht="33.75" customHeight="1">
      <c r="A9" s="585"/>
      <c r="B9" s="193" t="s">
        <v>307</v>
      </c>
      <c r="C9" s="343">
        <v>3789</v>
      </c>
      <c r="D9" s="343">
        <v>198</v>
      </c>
      <c r="E9" s="343">
        <v>103</v>
      </c>
      <c r="F9" s="310">
        <v>20</v>
      </c>
      <c r="G9" s="310">
        <v>75775</v>
      </c>
      <c r="H9" s="310">
        <v>3953</v>
      </c>
      <c r="I9" s="310">
        <v>2055</v>
      </c>
    </row>
    <row r="10" spans="1:9" s="4" customFormat="1" ht="33.75" customHeight="1">
      <c r="A10" s="585"/>
      <c r="B10" s="193" t="s">
        <v>308</v>
      </c>
      <c r="C10" s="343">
        <v>14516</v>
      </c>
      <c r="D10" s="343">
        <v>645</v>
      </c>
      <c r="E10" s="343">
        <v>429</v>
      </c>
      <c r="F10" s="310">
        <v>19</v>
      </c>
      <c r="G10" s="310">
        <v>275797</v>
      </c>
      <c r="H10" s="310">
        <v>12254</v>
      </c>
      <c r="I10" s="310">
        <v>8142</v>
      </c>
    </row>
    <row r="11" spans="1:9" s="4" customFormat="1" ht="33.75" customHeight="1">
      <c r="A11" s="585"/>
      <c r="B11" s="193" t="s">
        <v>309</v>
      </c>
      <c r="C11" s="343">
        <v>7957</v>
      </c>
      <c r="D11" s="343">
        <v>251</v>
      </c>
      <c r="E11" s="343">
        <v>235</v>
      </c>
      <c r="F11" s="310">
        <v>21</v>
      </c>
      <c r="G11" s="310">
        <v>167097</v>
      </c>
      <c r="H11" s="310">
        <v>5264</v>
      </c>
      <c r="I11" s="310">
        <v>4926</v>
      </c>
    </row>
    <row r="12" spans="1:9" s="4" customFormat="1" ht="33.75" customHeight="1">
      <c r="A12" s="585"/>
      <c r="B12" s="193" t="s">
        <v>310</v>
      </c>
      <c r="C12" s="343">
        <v>7801</v>
      </c>
      <c r="D12" s="343">
        <v>258</v>
      </c>
      <c r="E12" s="343">
        <v>195</v>
      </c>
      <c r="F12" s="310">
        <v>22</v>
      </c>
      <c r="G12" s="310">
        <v>171614</v>
      </c>
      <c r="H12" s="310">
        <v>5686</v>
      </c>
      <c r="I12" s="310">
        <v>4298</v>
      </c>
    </row>
    <row r="13" spans="1:9" s="4" customFormat="1" ht="33.75" customHeight="1">
      <c r="A13" s="585"/>
      <c r="B13" s="193" t="s">
        <v>311</v>
      </c>
      <c r="C13" s="343">
        <v>6510</v>
      </c>
      <c r="D13" s="343">
        <v>210</v>
      </c>
      <c r="E13" s="343">
        <v>172</v>
      </c>
      <c r="F13" s="310">
        <v>20</v>
      </c>
      <c r="G13" s="310">
        <v>130205</v>
      </c>
      <c r="H13" s="310">
        <v>4198</v>
      </c>
      <c r="I13" s="310">
        <v>3447</v>
      </c>
    </row>
    <row r="14" spans="1:9" s="4" customFormat="1" ht="33.75" customHeight="1">
      <c r="A14" s="585"/>
      <c r="B14" s="193" t="s">
        <v>312</v>
      </c>
      <c r="C14" s="343">
        <v>22848</v>
      </c>
      <c r="D14" s="343">
        <v>2065</v>
      </c>
      <c r="E14" s="343">
        <v>188</v>
      </c>
      <c r="F14" s="310">
        <v>21</v>
      </c>
      <c r="G14" s="310">
        <v>479811</v>
      </c>
      <c r="H14" s="310">
        <v>43375</v>
      </c>
      <c r="I14" s="310">
        <v>3942</v>
      </c>
    </row>
    <row r="15" spans="1:9" s="4" customFormat="1" ht="33.75" customHeight="1">
      <c r="A15" s="585"/>
      <c r="B15" s="193" t="s">
        <v>313</v>
      </c>
      <c r="C15" s="343">
        <v>6172</v>
      </c>
      <c r="D15" s="343">
        <v>679</v>
      </c>
      <c r="E15" s="343">
        <v>247</v>
      </c>
      <c r="F15" s="310">
        <v>21</v>
      </c>
      <c r="G15" s="310">
        <v>129604</v>
      </c>
      <c r="H15" s="310">
        <v>14252</v>
      </c>
      <c r="I15" s="310">
        <v>5178</v>
      </c>
    </row>
    <row r="16" spans="1:9" s="4" customFormat="1" ht="33.75" customHeight="1">
      <c r="A16" s="585"/>
      <c r="B16" s="193" t="s">
        <v>314</v>
      </c>
      <c r="C16" s="343">
        <v>3432</v>
      </c>
      <c r="D16" s="343">
        <v>205</v>
      </c>
      <c r="E16" s="343">
        <v>172</v>
      </c>
      <c r="F16" s="310">
        <v>20</v>
      </c>
      <c r="G16" s="310">
        <v>68637</v>
      </c>
      <c r="H16" s="310">
        <v>4099</v>
      </c>
      <c r="I16" s="310">
        <v>3441</v>
      </c>
    </row>
    <row r="17" spans="1:9" s="4" customFormat="1" ht="33.75" customHeight="1" thickBot="1">
      <c r="A17" s="585"/>
      <c r="B17" s="194" t="s">
        <v>315</v>
      </c>
      <c r="C17" s="344">
        <v>2423</v>
      </c>
      <c r="D17" s="344">
        <v>196</v>
      </c>
      <c r="E17" s="344">
        <v>111</v>
      </c>
      <c r="F17" s="312">
        <v>17</v>
      </c>
      <c r="G17" s="312">
        <v>41193</v>
      </c>
      <c r="H17" s="312">
        <v>3339</v>
      </c>
      <c r="I17" s="312">
        <v>1886</v>
      </c>
    </row>
    <row r="18" spans="1:9" s="4" customFormat="1" ht="33.75" customHeight="1" thickBot="1">
      <c r="A18" s="592"/>
      <c r="B18" s="88" t="s">
        <v>389</v>
      </c>
      <c r="C18" s="345">
        <f>G18/F18</f>
        <v>7126.725</v>
      </c>
      <c r="D18" s="345">
        <f>H18/F18</f>
        <v>439.65833333333336</v>
      </c>
      <c r="E18" s="345">
        <f>I18/240</f>
        <v>179.4875</v>
      </c>
      <c r="F18" s="345">
        <f>SUM(F6:F17)</f>
        <v>240</v>
      </c>
      <c r="G18" s="345">
        <f>SUM(G6:G17)</f>
        <v>1710414</v>
      </c>
      <c r="H18" s="345">
        <f>SUM(H6:H17)</f>
        <v>105518</v>
      </c>
      <c r="I18" s="345">
        <f>SUM(I6:I17)</f>
        <v>43077</v>
      </c>
    </row>
  </sheetData>
  <sheetProtection/>
  <mergeCells count="7">
    <mergeCell ref="A6:A18"/>
    <mergeCell ref="A1:I1"/>
    <mergeCell ref="C4:E4"/>
    <mergeCell ref="F4:F5"/>
    <mergeCell ref="G4:G5"/>
    <mergeCell ref="H4:H5"/>
    <mergeCell ref="I4:I5"/>
  </mergeCells>
  <printOptions horizontalCentered="1"/>
  <pageMargins left="0" right="0" top="0.5" bottom="0.5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W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21" customWidth="1"/>
    <col min="2" max="2" width="25.421875" style="56" customWidth="1"/>
    <col min="3" max="3" width="8.28125" style="13" customWidth="1"/>
    <col min="4" max="14" width="7.7109375" style="2" customWidth="1"/>
    <col min="15" max="15" width="7.7109375" style="5" customWidth="1"/>
    <col min="16" max="16" width="7.7109375" style="16" customWidth="1"/>
    <col min="17" max="16384" width="9.140625" style="5" customWidth="1"/>
  </cols>
  <sheetData>
    <row r="1" spans="1:23" ht="19.5" customHeight="1">
      <c r="A1" s="164" t="s">
        <v>245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36"/>
      <c r="Q1" s="36"/>
      <c r="R1" s="36"/>
      <c r="S1" s="36"/>
      <c r="T1" s="36"/>
      <c r="U1" s="36"/>
      <c r="V1" s="36"/>
      <c r="W1" s="36"/>
    </row>
    <row r="2" spans="1:23" ht="12.75">
      <c r="A2" s="14" t="s">
        <v>189</v>
      </c>
      <c r="M2" s="21"/>
      <c r="N2" s="13"/>
      <c r="O2" s="13"/>
      <c r="P2" s="35"/>
      <c r="Q2" s="2"/>
      <c r="R2" s="2"/>
      <c r="S2" s="2"/>
      <c r="T2" s="2"/>
      <c r="U2" s="2"/>
      <c r="V2" s="2"/>
      <c r="W2" s="2"/>
    </row>
    <row r="3" spans="1:23" ht="6.75" customHeight="1" thickBot="1">
      <c r="A3" s="14"/>
      <c r="M3" s="21"/>
      <c r="N3" s="13"/>
      <c r="O3" s="13"/>
      <c r="P3" s="35"/>
      <c r="Q3" s="2"/>
      <c r="R3" s="2"/>
      <c r="S3" s="2"/>
      <c r="T3" s="2"/>
      <c r="U3" s="2"/>
      <c r="V3" s="2"/>
      <c r="W3" s="2"/>
    </row>
    <row r="4" spans="1:23" ht="13.5" customHeight="1" thickBot="1">
      <c r="A4" s="14"/>
      <c r="D4" s="458">
        <v>2008</v>
      </c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2"/>
      <c r="R4" s="2"/>
      <c r="S4" s="2"/>
      <c r="T4" s="2"/>
      <c r="U4" s="2"/>
      <c r="V4" s="2"/>
      <c r="W4" s="2"/>
    </row>
    <row r="5" spans="1:16" ht="48" thickBot="1">
      <c r="A5" s="88" t="s">
        <v>227</v>
      </c>
      <c r="B5" s="182" t="s">
        <v>228</v>
      </c>
      <c r="C5" s="332" t="s">
        <v>236</v>
      </c>
      <c r="D5" s="67" t="s">
        <v>304</v>
      </c>
      <c r="E5" s="67" t="s">
        <v>305</v>
      </c>
      <c r="F5" s="67" t="s">
        <v>306</v>
      </c>
      <c r="G5" s="67" t="s">
        <v>307</v>
      </c>
      <c r="H5" s="67" t="s">
        <v>308</v>
      </c>
      <c r="I5" s="67" t="s">
        <v>309</v>
      </c>
      <c r="J5" s="67" t="s">
        <v>310</v>
      </c>
      <c r="K5" s="67" t="s">
        <v>311</v>
      </c>
      <c r="L5" s="67" t="s">
        <v>312</v>
      </c>
      <c r="M5" s="67" t="s">
        <v>313</v>
      </c>
      <c r="N5" s="67" t="s">
        <v>314</v>
      </c>
      <c r="O5" s="67" t="s">
        <v>315</v>
      </c>
      <c r="P5" s="347" t="s">
        <v>389</v>
      </c>
    </row>
    <row r="6" spans="1:16" ht="16.5" customHeight="1">
      <c r="A6" s="575" t="s">
        <v>190</v>
      </c>
      <c r="B6" s="598" t="s">
        <v>191</v>
      </c>
      <c r="C6" s="319" t="s">
        <v>301</v>
      </c>
      <c r="D6" s="144">
        <v>39245.21</v>
      </c>
      <c r="E6" s="199">
        <v>19830.07</v>
      </c>
      <c r="F6" s="144">
        <v>17357.04</v>
      </c>
      <c r="G6" s="144">
        <v>29094.85</v>
      </c>
      <c r="H6" s="144">
        <v>148541.82</v>
      </c>
      <c r="I6" s="144">
        <v>80426.25</v>
      </c>
      <c r="J6" s="144">
        <v>104373.15</v>
      </c>
      <c r="K6" s="144">
        <v>44080.25</v>
      </c>
      <c r="L6" s="199">
        <v>246703.34</v>
      </c>
      <c r="M6" s="199">
        <v>59981.06</v>
      </c>
      <c r="N6" s="199">
        <v>42960.46</v>
      </c>
      <c r="O6" s="199">
        <v>17795.02</v>
      </c>
      <c r="P6" s="346">
        <f>SUM(D6:O6)</f>
        <v>850388.52</v>
      </c>
    </row>
    <row r="7" spans="1:16" ht="16.5" customHeight="1" thickBot="1">
      <c r="A7" s="576"/>
      <c r="B7" s="599"/>
      <c r="C7" s="321" t="s">
        <v>246</v>
      </c>
      <c r="D7" s="335">
        <f>D6*100/D$75</f>
        <v>50.55991976350839</v>
      </c>
      <c r="E7" s="335">
        <f aca="true" t="shared" si="0" ref="E7:P7">E6*100/E$75</f>
        <v>45.67537890025484</v>
      </c>
      <c r="F7" s="335">
        <f t="shared" si="0"/>
        <v>34.962503208085</v>
      </c>
      <c r="G7" s="335">
        <f t="shared" si="0"/>
        <v>38.39643153142786</v>
      </c>
      <c r="H7" s="335">
        <f t="shared" si="0"/>
        <v>53.85910621613223</v>
      </c>
      <c r="I7" s="335">
        <f t="shared" si="0"/>
        <v>48.13149121358378</v>
      </c>
      <c r="J7" s="335">
        <f t="shared" si="0"/>
        <v>60.81843930561363</v>
      </c>
      <c r="K7" s="335">
        <f t="shared" si="0"/>
        <v>33.85438971311816</v>
      </c>
      <c r="L7" s="335">
        <f t="shared" si="0"/>
        <v>51.41672539135841</v>
      </c>
      <c r="M7" s="335">
        <f t="shared" si="0"/>
        <v>46.28017156538796</v>
      </c>
      <c r="N7" s="335">
        <f t="shared" si="0"/>
        <v>62.59062687772403</v>
      </c>
      <c r="O7" s="335">
        <f t="shared" si="0"/>
        <v>43.1993365426491</v>
      </c>
      <c r="P7" s="335">
        <f t="shared" si="0"/>
        <v>49.71824360175072</v>
      </c>
    </row>
    <row r="8" spans="1:16" ht="16.5" customHeight="1">
      <c r="A8" s="576"/>
      <c r="B8" s="601" t="s">
        <v>192</v>
      </c>
      <c r="C8" s="348" t="s">
        <v>301</v>
      </c>
      <c r="D8" s="109">
        <v>16699.69</v>
      </c>
      <c r="E8" s="349">
        <v>6859.31</v>
      </c>
      <c r="F8" s="109">
        <v>4767.31</v>
      </c>
      <c r="G8" s="109">
        <v>8430.78</v>
      </c>
      <c r="H8" s="109">
        <v>73265.17</v>
      </c>
      <c r="I8" s="109">
        <v>40652.1</v>
      </c>
      <c r="J8" s="109">
        <v>38661.23</v>
      </c>
      <c r="K8" s="109">
        <v>26969.34</v>
      </c>
      <c r="L8" s="349">
        <v>149769.99</v>
      </c>
      <c r="M8" s="349">
        <v>23424.21</v>
      </c>
      <c r="N8" s="349">
        <v>10641.27</v>
      </c>
      <c r="O8" s="349">
        <v>4437.93</v>
      </c>
      <c r="P8" s="131">
        <f>SUM(D8:O8)</f>
        <v>404578.3300000001</v>
      </c>
    </row>
    <row r="9" spans="1:16" s="15" customFormat="1" ht="16.5" customHeight="1" thickBot="1">
      <c r="A9" s="577"/>
      <c r="B9" s="599"/>
      <c r="C9" s="321" t="s">
        <v>246</v>
      </c>
      <c r="D9" s="335">
        <f aca="true" t="shared" si="1" ref="D9:P9">D8*100/D$75</f>
        <v>21.51434497293971</v>
      </c>
      <c r="E9" s="335">
        <f t="shared" si="1"/>
        <v>15.799318068181659</v>
      </c>
      <c r="F9" s="335">
        <f t="shared" si="1"/>
        <v>9.602852281779366</v>
      </c>
      <c r="G9" s="335">
        <f t="shared" si="1"/>
        <v>11.126088191777288</v>
      </c>
      <c r="H9" s="335">
        <f t="shared" si="1"/>
        <v>26.564886393427688</v>
      </c>
      <c r="I9" s="335">
        <f t="shared" si="1"/>
        <v>24.32845238916062</v>
      </c>
      <c r="J9" s="335">
        <f t="shared" si="1"/>
        <v>22.52797458192427</v>
      </c>
      <c r="K9" s="335">
        <f t="shared" si="1"/>
        <v>20.712916706815093</v>
      </c>
      <c r="L9" s="335">
        <f t="shared" si="1"/>
        <v>31.21434208266696</v>
      </c>
      <c r="M9" s="335">
        <f t="shared" si="1"/>
        <v>18.073646207380733</v>
      </c>
      <c r="N9" s="335">
        <f t="shared" si="1"/>
        <v>15.503645912430136</v>
      </c>
      <c r="O9" s="335">
        <f t="shared" si="1"/>
        <v>10.77355527685379</v>
      </c>
      <c r="P9" s="335">
        <f t="shared" si="1"/>
        <v>23.65380469497577</v>
      </c>
    </row>
    <row r="10" spans="1:16" s="9" customFormat="1" ht="9" customHeight="1">
      <c r="A10" s="578" t="s">
        <v>427</v>
      </c>
      <c r="B10" s="602" t="s">
        <v>1</v>
      </c>
      <c r="C10" s="351" t="s">
        <v>301</v>
      </c>
      <c r="D10" s="144">
        <v>0</v>
      </c>
      <c r="E10" s="198">
        <v>0</v>
      </c>
      <c r="F10" s="144">
        <v>10.5</v>
      </c>
      <c r="G10" s="144">
        <v>0</v>
      </c>
      <c r="H10" s="144">
        <v>77.52</v>
      </c>
      <c r="I10" s="144">
        <v>0</v>
      </c>
      <c r="J10" s="144">
        <v>0</v>
      </c>
      <c r="K10" s="144">
        <v>0</v>
      </c>
      <c r="L10" s="144">
        <v>44115.7</v>
      </c>
      <c r="M10" s="199">
        <v>11238.8</v>
      </c>
      <c r="N10" s="199">
        <v>181.78</v>
      </c>
      <c r="O10" s="199">
        <v>0</v>
      </c>
      <c r="P10" s="346">
        <f>SUM(D10:O10)</f>
        <v>55624.29999999999</v>
      </c>
    </row>
    <row r="11" spans="1:16" s="9" customFormat="1" ht="9" customHeight="1" thickBot="1">
      <c r="A11" s="579"/>
      <c r="B11" s="603"/>
      <c r="C11" s="355" t="s">
        <v>246</v>
      </c>
      <c r="D11" s="350">
        <f aca="true" t="shared" si="2" ref="D11:P11">D10*100/D$75</f>
        <v>0</v>
      </c>
      <c r="E11" s="350">
        <f t="shared" si="2"/>
        <v>0</v>
      </c>
      <c r="F11" s="350">
        <f t="shared" si="2"/>
        <v>0.021150281596683106</v>
      </c>
      <c r="G11" s="350">
        <f t="shared" si="2"/>
        <v>0</v>
      </c>
      <c r="H11" s="350">
        <f t="shared" si="2"/>
        <v>0.028107625945841853</v>
      </c>
      <c r="I11" s="350">
        <f t="shared" si="2"/>
        <v>0</v>
      </c>
      <c r="J11" s="350">
        <f t="shared" si="2"/>
        <v>0</v>
      </c>
      <c r="K11" s="350">
        <f t="shared" si="2"/>
        <v>0</v>
      </c>
      <c r="L11" s="350">
        <f t="shared" si="2"/>
        <v>9.194382339321187</v>
      </c>
      <c r="M11" s="350">
        <f t="shared" si="2"/>
        <v>8.671630547860978</v>
      </c>
      <c r="N11" s="350">
        <f t="shared" si="2"/>
        <v>0.2648417673794152</v>
      </c>
      <c r="O11" s="350">
        <f t="shared" si="2"/>
        <v>0</v>
      </c>
      <c r="P11" s="350">
        <f t="shared" si="2"/>
        <v>3.2520929346234144</v>
      </c>
    </row>
    <row r="12" spans="1:16" s="9" customFormat="1" ht="9" customHeight="1">
      <c r="A12" s="579"/>
      <c r="B12" s="598" t="s">
        <v>2</v>
      </c>
      <c r="C12" s="351" t="s">
        <v>301</v>
      </c>
      <c r="D12" s="353">
        <v>898.03</v>
      </c>
      <c r="E12" s="198">
        <v>135.87</v>
      </c>
      <c r="F12" s="144">
        <v>3371.97</v>
      </c>
      <c r="G12" s="144">
        <v>6253</v>
      </c>
      <c r="H12" s="144">
        <v>3070.69</v>
      </c>
      <c r="I12" s="144">
        <v>11708.65</v>
      </c>
      <c r="J12" s="144">
        <v>1023.72</v>
      </c>
      <c r="K12" s="144">
        <v>21999.29</v>
      </c>
      <c r="L12" s="199">
        <v>12412.81</v>
      </c>
      <c r="M12" s="199">
        <v>52.26</v>
      </c>
      <c r="N12" s="199">
        <v>499.27</v>
      </c>
      <c r="O12" s="199">
        <v>10656.15</v>
      </c>
      <c r="P12" s="346">
        <f>SUM(D12:O12)</f>
        <v>72081.70999999999</v>
      </c>
    </row>
    <row r="13" spans="1:16" s="9" customFormat="1" ht="9" customHeight="1" thickBot="1">
      <c r="A13" s="579"/>
      <c r="B13" s="599"/>
      <c r="C13" s="352" t="s">
        <v>246</v>
      </c>
      <c r="D13" s="354">
        <f aca="true" t="shared" si="3" ref="D13:P13">D12*100/D$75</f>
        <v>1.156939273486457</v>
      </c>
      <c r="E13" s="350">
        <f t="shared" si="3"/>
        <v>0.31295470622028193</v>
      </c>
      <c r="F13" s="350">
        <f t="shared" si="3"/>
        <v>6.792201431958813</v>
      </c>
      <c r="G13" s="350">
        <f t="shared" si="3"/>
        <v>8.25207507053717</v>
      </c>
      <c r="H13" s="350">
        <f t="shared" si="3"/>
        <v>1.1133875892110052</v>
      </c>
      <c r="I13" s="350">
        <f t="shared" si="3"/>
        <v>7.007100102241839</v>
      </c>
      <c r="J13" s="350">
        <f t="shared" si="3"/>
        <v>0.5965236527396441</v>
      </c>
      <c r="K13" s="350">
        <f t="shared" si="3"/>
        <v>16.895832874629868</v>
      </c>
      <c r="L13" s="350">
        <f t="shared" si="3"/>
        <v>2.5870182507667208</v>
      </c>
      <c r="M13" s="350">
        <f t="shared" si="3"/>
        <v>0.040322757984056545</v>
      </c>
      <c r="N13" s="350">
        <f t="shared" si="3"/>
        <v>0.7274042754952176</v>
      </c>
      <c r="O13" s="350">
        <f t="shared" si="3"/>
        <v>25.868957163237255</v>
      </c>
      <c r="P13" s="350">
        <f t="shared" si="3"/>
        <v>4.214280805449667</v>
      </c>
    </row>
    <row r="14" spans="1:16" s="9" customFormat="1" ht="9" customHeight="1">
      <c r="A14" s="579"/>
      <c r="B14" s="598" t="s">
        <v>3</v>
      </c>
      <c r="C14" s="351" t="s">
        <v>301</v>
      </c>
      <c r="D14" s="353">
        <v>3393.59</v>
      </c>
      <c r="E14" s="198">
        <v>1991.71</v>
      </c>
      <c r="F14" s="144">
        <v>11424.27</v>
      </c>
      <c r="G14" s="144">
        <v>10977.15</v>
      </c>
      <c r="H14" s="144">
        <v>12923.42</v>
      </c>
      <c r="I14" s="144">
        <v>15181.87</v>
      </c>
      <c r="J14" s="144">
        <v>4415.69</v>
      </c>
      <c r="K14" s="144">
        <v>20310.49</v>
      </c>
      <c r="L14" s="199">
        <v>7222.41</v>
      </c>
      <c r="M14" s="199">
        <v>11595.25</v>
      </c>
      <c r="N14" s="199">
        <v>2397.96</v>
      </c>
      <c r="O14" s="199">
        <v>1222.55</v>
      </c>
      <c r="P14" s="346">
        <f>SUM(D14:O14)</f>
        <v>103056.36000000002</v>
      </c>
    </row>
    <row r="15" spans="1:16" s="9" customFormat="1" ht="9" customHeight="1" thickBot="1">
      <c r="A15" s="579"/>
      <c r="B15" s="599"/>
      <c r="C15" s="352" t="s">
        <v>246</v>
      </c>
      <c r="D15" s="354">
        <f aca="true" t="shared" si="4" ref="D15:P15">D14*100/D$75</f>
        <v>4.371989297808431</v>
      </c>
      <c r="E15" s="350">
        <f t="shared" si="4"/>
        <v>4.587583851667017</v>
      </c>
      <c r="F15" s="350">
        <f t="shared" si="4"/>
        <v>23.012050241575135</v>
      </c>
      <c r="G15" s="350">
        <f t="shared" si="4"/>
        <v>14.48652900376573</v>
      </c>
      <c r="H15" s="350">
        <f t="shared" si="4"/>
        <v>4.685844366628116</v>
      </c>
      <c r="I15" s="350">
        <f t="shared" si="4"/>
        <v>9.085665967402075</v>
      </c>
      <c r="J15" s="350">
        <f t="shared" si="4"/>
        <v>2.573031227450786</v>
      </c>
      <c r="K15" s="350">
        <f t="shared" si="4"/>
        <v>15.598805445168512</v>
      </c>
      <c r="L15" s="350">
        <f t="shared" si="4"/>
        <v>1.5052600083720022</v>
      </c>
      <c r="M15" s="350">
        <f t="shared" si="4"/>
        <v>8.946660151447219</v>
      </c>
      <c r="N15" s="350">
        <f t="shared" si="4"/>
        <v>3.4936734762082877</v>
      </c>
      <c r="O15" s="350">
        <f t="shared" si="4"/>
        <v>2.9678724098211555</v>
      </c>
      <c r="P15" s="350">
        <f t="shared" si="4"/>
        <v>6.0252238720129006</v>
      </c>
    </row>
    <row r="16" spans="1:16" s="9" customFormat="1" ht="9" customHeight="1">
      <c r="A16" s="579"/>
      <c r="B16" s="598" t="s">
        <v>4</v>
      </c>
      <c r="C16" s="351" t="s">
        <v>301</v>
      </c>
      <c r="D16" s="353">
        <v>273.2</v>
      </c>
      <c r="E16" s="198">
        <v>59.6</v>
      </c>
      <c r="F16" s="144">
        <v>0</v>
      </c>
      <c r="G16" s="144">
        <v>0</v>
      </c>
      <c r="H16" s="144">
        <v>695.65</v>
      </c>
      <c r="I16" s="144">
        <v>79.68</v>
      </c>
      <c r="J16" s="144">
        <v>571.46</v>
      </c>
      <c r="K16" s="144">
        <v>44.08</v>
      </c>
      <c r="L16" s="199">
        <v>1561.44</v>
      </c>
      <c r="M16" s="199">
        <v>329.08</v>
      </c>
      <c r="N16" s="199">
        <v>102.6</v>
      </c>
      <c r="O16" s="199">
        <v>274.03</v>
      </c>
      <c r="P16" s="346">
        <f>SUM(D16:O16)</f>
        <v>3990.8199999999997</v>
      </c>
    </row>
    <row r="17" spans="1:16" s="9" customFormat="1" ht="9" customHeight="1" thickBot="1">
      <c r="A17" s="579"/>
      <c r="B17" s="599"/>
      <c r="C17" s="352" t="s">
        <v>246</v>
      </c>
      <c r="D17" s="354">
        <f aca="true" t="shared" si="5" ref="D17:P17">D16*100/D$75</f>
        <v>0.351965757843836</v>
      </c>
      <c r="E17" s="350">
        <f t="shared" si="5"/>
        <v>0.13727902031889896</v>
      </c>
      <c r="F17" s="350">
        <f t="shared" si="5"/>
        <v>0</v>
      </c>
      <c r="G17" s="350">
        <f t="shared" si="5"/>
        <v>0</v>
      </c>
      <c r="H17" s="350">
        <f t="shared" si="5"/>
        <v>0.25223258500032103</v>
      </c>
      <c r="I17" s="350">
        <f t="shared" si="5"/>
        <v>0.04768489417196943</v>
      </c>
      <c r="J17" s="350">
        <f t="shared" si="5"/>
        <v>0.33299086331672434</v>
      </c>
      <c r="K17" s="350">
        <f t="shared" si="5"/>
        <v>0.03385419770882081</v>
      </c>
      <c r="L17" s="350">
        <f t="shared" si="5"/>
        <v>0.32542782637268985</v>
      </c>
      <c r="M17" s="350">
        <f t="shared" si="5"/>
        <v>0.25391146569830325</v>
      </c>
      <c r="N17" s="350">
        <f t="shared" si="5"/>
        <v>0.14948160046830236</v>
      </c>
      <c r="O17" s="350">
        <f t="shared" si="5"/>
        <v>0.6652374761468169</v>
      </c>
      <c r="P17" s="350">
        <f t="shared" si="5"/>
        <v>0.23332459959682758</v>
      </c>
    </row>
    <row r="18" spans="1:16" s="9" customFormat="1" ht="9" customHeight="1">
      <c r="A18" s="579"/>
      <c r="B18" s="598" t="s">
        <v>5</v>
      </c>
      <c r="C18" s="351" t="s">
        <v>301</v>
      </c>
      <c r="D18" s="353">
        <v>433.58</v>
      </c>
      <c r="E18" s="198">
        <v>58.45</v>
      </c>
      <c r="F18" s="144">
        <v>988.54</v>
      </c>
      <c r="G18" s="144">
        <v>36.93</v>
      </c>
      <c r="H18" s="144">
        <v>800</v>
      </c>
      <c r="I18" s="144">
        <v>824.14</v>
      </c>
      <c r="J18" s="144">
        <v>312.2</v>
      </c>
      <c r="K18" s="144">
        <v>274.02</v>
      </c>
      <c r="L18" s="199">
        <v>788.5</v>
      </c>
      <c r="M18" s="199">
        <v>44.4</v>
      </c>
      <c r="N18" s="199">
        <v>0</v>
      </c>
      <c r="O18" s="199">
        <v>353</v>
      </c>
      <c r="P18" s="346">
        <f>SUM(D18:O18)</f>
        <v>4913.759999999999</v>
      </c>
    </row>
    <row r="19" spans="1:16" s="9" customFormat="1" ht="9" customHeight="1" thickBot="1">
      <c r="A19" s="579"/>
      <c r="B19" s="599"/>
      <c r="C19" s="352" t="s">
        <v>246</v>
      </c>
      <c r="D19" s="354">
        <f aca="true" t="shared" si="6" ref="D19:P19">D18*100/D$75</f>
        <v>0.5585846020714876</v>
      </c>
      <c r="E19" s="350">
        <f t="shared" si="6"/>
        <v>0.134630180161739</v>
      </c>
      <c r="F19" s="350">
        <f t="shared" si="6"/>
        <v>1.9912285113890589</v>
      </c>
      <c r="G19" s="350">
        <f t="shared" si="6"/>
        <v>0.048736467672307326</v>
      </c>
      <c r="H19" s="350">
        <f t="shared" si="6"/>
        <v>0.2900683792140542</v>
      </c>
      <c r="I19" s="350">
        <f t="shared" si="6"/>
        <v>0.4932107013414518</v>
      </c>
      <c r="J19" s="350">
        <f t="shared" si="6"/>
        <v>0.18191955259769946</v>
      </c>
      <c r="K19" s="350">
        <f t="shared" si="6"/>
        <v>0.21045207023981574</v>
      </c>
      <c r="L19" s="350">
        <f t="shared" si="6"/>
        <v>0.16433538342482962</v>
      </c>
      <c r="M19" s="350">
        <f t="shared" si="6"/>
        <v>0.03425814111159798</v>
      </c>
      <c r="N19" s="350">
        <f t="shared" si="6"/>
        <v>0</v>
      </c>
      <c r="O19" s="350">
        <f t="shared" si="6"/>
        <v>0.8569456960180507</v>
      </c>
      <c r="P19" s="350">
        <f t="shared" si="6"/>
        <v>0.287284589261081</v>
      </c>
    </row>
    <row r="20" spans="1:16" s="9" customFormat="1" ht="9" customHeight="1">
      <c r="A20" s="579"/>
      <c r="B20" s="598" t="s">
        <v>6</v>
      </c>
      <c r="C20" s="351" t="s">
        <v>301</v>
      </c>
      <c r="D20" s="353">
        <v>3146</v>
      </c>
      <c r="E20" s="198">
        <v>2582.24</v>
      </c>
      <c r="F20" s="144">
        <v>480.35</v>
      </c>
      <c r="G20" s="144">
        <v>3308.87</v>
      </c>
      <c r="H20" s="144">
        <v>956.7</v>
      </c>
      <c r="I20" s="144">
        <v>112.94</v>
      </c>
      <c r="J20" s="144">
        <v>519.42</v>
      </c>
      <c r="K20" s="144">
        <v>1495.21</v>
      </c>
      <c r="L20" s="199">
        <v>1190.93</v>
      </c>
      <c r="M20" s="199">
        <v>5210.38</v>
      </c>
      <c r="N20" s="199">
        <v>5294.38</v>
      </c>
      <c r="O20" s="199">
        <v>165.6</v>
      </c>
      <c r="P20" s="346">
        <f>SUM(D20:O20)</f>
        <v>24463.02</v>
      </c>
    </row>
    <row r="21" spans="1:16" s="9" customFormat="1" ht="9" customHeight="1" thickBot="1">
      <c r="A21" s="579"/>
      <c r="B21" s="599"/>
      <c r="C21" s="352" t="s">
        <v>246</v>
      </c>
      <c r="D21" s="354">
        <f aca="true" t="shared" si="7" ref="D21:P21">D20*100/D$75</f>
        <v>4.053017108992343</v>
      </c>
      <c r="E21" s="350">
        <f t="shared" si="7"/>
        <v>5.947774789064994</v>
      </c>
      <c r="F21" s="350">
        <f t="shared" si="7"/>
        <v>0.9675750252349267</v>
      </c>
      <c r="G21" s="350">
        <f t="shared" si="7"/>
        <v>4.3667109609224894</v>
      </c>
      <c r="H21" s="350">
        <f t="shared" si="7"/>
        <v>0.3468855229926071</v>
      </c>
      <c r="I21" s="350">
        <f t="shared" si="7"/>
        <v>0.06758950737678497</v>
      </c>
      <c r="J21" s="350">
        <f t="shared" si="7"/>
        <v>0.30266705320402637</v>
      </c>
      <c r="K21" s="350">
        <f t="shared" si="7"/>
        <v>1.148346981765108</v>
      </c>
      <c r="L21" s="350">
        <f t="shared" si="7"/>
        <v>0.2482079114548286</v>
      </c>
      <c r="M21" s="350">
        <f t="shared" si="7"/>
        <v>4.020223722636214</v>
      </c>
      <c r="N21" s="350">
        <f t="shared" si="7"/>
        <v>7.713571110013359</v>
      </c>
      <c r="O21" s="350">
        <f t="shared" si="7"/>
        <v>0.4020119185852385</v>
      </c>
      <c r="P21" s="350">
        <f t="shared" si="7"/>
        <v>1.4302384839279108</v>
      </c>
    </row>
    <row r="22" spans="1:16" s="9" customFormat="1" ht="9" customHeight="1">
      <c r="A22" s="579"/>
      <c r="B22" s="598" t="s">
        <v>7</v>
      </c>
      <c r="C22" s="351" t="s">
        <v>301</v>
      </c>
      <c r="D22" s="353">
        <v>28.75</v>
      </c>
      <c r="E22" s="198">
        <v>0</v>
      </c>
      <c r="F22" s="198">
        <v>0</v>
      </c>
      <c r="G22" s="198">
        <v>0</v>
      </c>
      <c r="H22" s="198">
        <v>49.8</v>
      </c>
      <c r="I22" s="198">
        <v>172.5</v>
      </c>
      <c r="J22" s="144">
        <v>4964.12</v>
      </c>
      <c r="K22" s="144">
        <v>0</v>
      </c>
      <c r="L22" s="199">
        <v>48.2</v>
      </c>
      <c r="M22" s="199">
        <v>0</v>
      </c>
      <c r="N22" s="199">
        <v>2135.53</v>
      </c>
      <c r="O22" s="199">
        <v>0</v>
      </c>
      <c r="P22" s="346">
        <f>SUM(D22:O22)</f>
        <v>7398.9</v>
      </c>
    </row>
    <row r="23" spans="1:16" s="9" customFormat="1" ht="9" customHeight="1" thickBot="1">
      <c r="A23" s="579"/>
      <c r="B23" s="599"/>
      <c r="C23" s="352" t="s">
        <v>246</v>
      </c>
      <c r="D23" s="354">
        <f aca="true" t="shared" si="8" ref="D23:P23">D22*100/D$75</f>
        <v>0.03703885628847103</v>
      </c>
      <c r="E23" s="350">
        <f t="shared" si="8"/>
        <v>0</v>
      </c>
      <c r="F23" s="350">
        <f t="shared" si="8"/>
        <v>0</v>
      </c>
      <c r="G23" s="350">
        <f t="shared" si="8"/>
        <v>0</v>
      </c>
      <c r="H23" s="350">
        <f t="shared" si="8"/>
        <v>0.018056756606074875</v>
      </c>
      <c r="I23" s="350">
        <f t="shared" si="8"/>
        <v>0.1032334870063344</v>
      </c>
      <c r="J23" s="350">
        <f t="shared" si="8"/>
        <v>2.892602464578129</v>
      </c>
      <c r="K23" s="350">
        <f t="shared" si="8"/>
        <v>0</v>
      </c>
      <c r="L23" s="350">
        <f t="shared" si="8"/>
        <v>0.010045612531486097</v>
      </c>
      <c r="M23" s="350">
        <f t="shared" si="8"/>
        <v>0</v>
      </c>
      <c r="N23" s="350">
        <f t="shared" si="8"/>
        <v>3.111329846472454</v>
      </c>
      <c r="O23" s="350">
        <f t="shared" si="8"/>
        <v>0</v>
      </c>
      <c r="P23" s="350">
        <f t="shared" si="8"/>
        <v>0.4325791140560004</v>
      </c>
    </row>
    <row r="24" spans="1:16" s="9" customFormat="1" ht="9" customHeight="1">
      <c r="A24" s="579"/>
      <c r="B24" s="598" t="s">
        <v>8</v>
      </c>
      <c r="C24" s="351" t="s">
        <v>301</v>
      </c>
      <c r="D24" s="353">
        <v>77.04</v>
      </c>
      <c r="E24" s="198">
        <v>9.94</v>
      </c>
      <c r="F24" s="144">
        <v>49.7</v>
      </c>
      <c r="G24" s="144">
        <v>528</v>
      </c>
      <c r="H24" s="144">
        <v>325</v>
      </c>
      <c r="I24" s="144">
        <v>191.5</v>
      </c>
      <c r="J24" s="144">
        <v>349.16</v>
      </c>
      <c r="K24" s="144">
        <v>537.14</v>
      </c>
      <c r="L24" s="199">
        <v>159.38</v>
      </c>
      <c r="M24" s="199">
        <v>417.08</v>
      </c>
      <c r="N24" s="199">
        <v>1378.6</v>
      </c>
      <c r="O24" s="199">
        <v>173.35</v>
      </c>
      <c r="P24" s="346">
        <f>SUM(D24:O24)</f>
        <v>4195.89</v>
      </c>
    </row>
    <row r="25" spans="1:16" s="9" customFormat="1" ht="9" customHeight="1" thickBot="1">
      <c r="A25" s="579"/>
      <c r="B25" s="599"/>
      <c r="C25" s="352" t="s">
        <v>246</v>
      </c>
      <c r="D25" s="354">
        <f aca="true" t="shared" si="9" ref="D25:P25">D24*100/D$75</f>
        <v>0.0992512517726542</v>
      </c>
      <c r="E25" s="350">
        <f t="shared" si="9"/>
        <v>0.022895192314930465</v>
      </c>
      <c r="F25" s="350">
        <f t="shared" si="9"/>
        <v>0.1001113328909667</v>
      </c>
      <c r="G25" s="350">
        <f t="shared" si="9"/>
        <v>0.6968008375569529</v>
      </c>
      <c r="H25" s="350">
        <f t="shared" si="9"/>
        <v>0.11784027905570953</v>
      </c>
      <c r="I25" s="350">
        <f t="shared" si="9"/>
        <v>0.11460413195195965</v>
      </c>
      <c r="J25" s="350">
        <f t="shared" si="9"/>
        <v>0.20345621712047643</v>
      </c>
      <c r="K25" s="350">
        <f t="shared" si="9"/>
        <v>0.41253275311515447</v>
      </c>
      <c r="L25" s="350">
        <f t="shared" si="9"/>
        <v>0.033217214217183696</v>
      </c>
      <c r="M25" s="350">
        <f t="shared" si="9"/>
        <v>0.32181048411768665</v>
      </c>
      <c r="N25" s="350">
        <f t="shared" si="9"/>
        <v>2.0085315244210684</v>
      </c>
      <c r="O25" s="350">
        <f t="shared" si="9"/>
        <v>0.42082588216637135</v>
      </c>
      <c r="P25" s="350">
        <f t="shared" si="9"/>
        <v>0.24531408437422209</v>
      </c>
    </row>
    <row r="26" spans="1:16" s="9" customFormat="1" ht="9" customHeight="1">
      <c r="A26" s="579"/>
      <c r="B26" s="598" t="s">
        <v>9</v>
      </c>
      <c r="C26" s="351" t="s">
        <v>301</v>
      </c>
      <c r="D26" s="353">
        <v>0</v>
      </c>
      <c r="E26" s="198">
        <v>480</v>
      </c>
      <c r="F26" s="144">
        <v>20.2</v>
      </c>
      <c r="G26" s="144">
        <v>271.2</v>
      </c>
      <c r="H26" s="144">
        <v>300</v>
      </c>
      <c r="I26" s="144">
        <v>617.5</v>
      </c>
      <c r="J26" s="144">
        <v>0</v>
      </c>
      <c r="K26" s="144">
        <v>164.45</v>
      </c>
      <c r="L26" s="199">
        <v>288.42</v>
      </c>
      <c r="M26" s="199">
        <v>151.5</v>
      </c>
      <c r="N26" s="199">
        <v>0</v>
      </c>
      <c r="O26" s="199">
        <v>121.2</v>
      </c>
      <c r="P26" s="346">
        <f>SUM(D26:O26)</f>
        <v>2414.47</v>
      </c>
    </row>
    <row r="27" spans="1:16" s="9" customFormat="1" ht="9" customHeight="1" thickBot="1">
      <c r="A27" s="579"/>
      <c r="B27" s="599"/>
      <c r="C27" s="352" t="s">
        <v>246</v>
      </c>
      <c r="D27" s="354">
        <f aca="true" t="shared" si="10" ref="D27:P27">D26*100/D$75</f>
        <v>0</v>
      </c>
      <c r="E27" s="350">
        <f t="shared" si="10"/>
        <v>1.1056028482058977</v>
      </c>
      <c r="F27" s="350">
        <f t="shared" si="10"/>
        <v>0.040689113166952263</v>
      </c>
      <c r="G27" s="350">
        <f t="shared" si="10"/>
        <v>0.3579022483815258</v>
      </c>
      <c r="H27" s="350">
        <f t="shared" si="10"/>
        <v>0.10877564220527033</v>
      </c>
      <c r="I27" s="350">
        <f t="shared" si="10"/>
        <v>0.36954596073282026</v>
      </c>
      <c r="J27" s="350">
        <f t="shared" si="10"/>
        <v>0</v>
      </c>
      <c r="K27" s="350">
        <f t="shared" si="10"/>
        <v>0.1263004267970867</v>
      </c>
      <c r="L27" s="350">
        <f t="shared" si="10"/>
        <v>0.06011111133467262</v>
      </c>
      <c r="M27" s="350">
        <f t="shared" si="10"/>
        <v>0.11689433284700664</v>
      </c>
      <c r="N27" s="350">
        <f t="shared" si="10"/>
        <v>0</v>
      </c>
      <c r="O27" s="350">
        <f t="shared" si="10"/>
        <v>0.29422611432687745</v>
      </c>
      <c r="P27" s="350">
        <f t="shared" si="10"/>
        <v>0.14116278007741573</v>
      </c>
    </row>
    <row r="28" spans="1:16" s="9" customFormat="1" ht="9" customHeight="1">
      <c r="A28" s="579"/>
      <c r="B28" s="598" t="s">
        <v>10</v>
      </c>
      <c r="C28" s="351" t="s">
        <v>301</v>
      </c>
      <c r="D28" s="353">
        <v>2015.95</v>
      </c>
      <c r="E28" s="198">
        <v>1259.94</v>
      </c>
      <c r="F28" s="144">
        <v>1427.52</v>
      </c>
      <c r="G28" s="144">
        <v>1712.99</v>
      </c>
      <c r="H28" s="144">
        <v>7021.43</v>
      </c>
      <c r="I28" s="144">
        <v>2191.49</v>
      </c>
      <c r="J28" s="144">
        <v>1531.93</v>
      </c>
      <c r="K28" s="144">
        <v>1308.81</v>
      </c>
      <c r="L28" s="199">
        <v>610.16</v>
      </c>
      <c r="M28" s="199">
        <v>2256.57</v>
      </c>
      <c r="N28" s="199">
        <v>590.72</v>
      </c>
      <c r="O28" s="199">
        <v>1673.77</v>
      </c>
      <c r="P28" s="346">
        <f>SUM(D28:O28)</f>
        <v>23601.280000000002</v>
      </c>
    </row>
    <row r="29" spans="1:16" s="9" customFormat="1" ht="9" customHeight="1" thickBot="1">
      <c r="A29" s="579"/>
      <c r="B29" s="599"/>
      <c r="C29" s="352" t="s">
        <v>246</v>
      </c>
      <c r="D29" s="354">
        <f aca="true" t="shared" si="11" ref="D29:P29">D28*100/D$75</f>
        <v>2.5971646029475886</v>
      </c>
      <c r="E29" s="350">
        <f t="shared" si="11"/>
        <v>2.9020692761844558</v>
      </c>
      <c r="F29" s="350">
        <f t="shared" si="11"/>
        <v>2.8754714271330544</v>
      </c>
      <c r="G29" s="350">
        <f t="shared" si="11"/>
        <v>2.2606304294066</v>
      </c>
      <c r="H29" s="350">
        <f t="shared" si="11"/>
        <v>2.545868524831171</v>
      </c>
      <c r="I29" s="350">
        <f t="shared" si="11"/>
        <v>1.311508141678329</v>
      </c>
      <c r="J29" s="350">
        <f t="shared" si="11"/>
        <v>0.8926586169474495</v>
      </c>
      <c r="K29" s="350">
        <f t="shared" si="11"/>
        <v>1.005188577660657</v>
      </c>
      <c r="L29" s="350">
        <f t="shared" si="11"/>
        <v>0.12716661705833107</v>
      </c>
      <c r="M29" s="350">
        <f t="shared" si="11"/>
        <v>1.7411237272116817</v>
      </c>
      <c r="N29" s="350">
        <f t="shared" si="11"/>
        <v>0.8606410431640894</v>
      </c>
      <c r="O29" s="350">
        <f t="shared" si="11"/>
        <v>4.06325778363777</v>
      </c>
      <c r="P29" s="350">
        <f t="shared" si="11"/>
        <v>1.3798565723266436</v>
      </c>
    </row>
    <row r="30" spans="1:16" s="9" customFormat="1" ht="9" customHeight="1">
      <c r="A30" s="579"/>
      <c r="B30" s="598" t="s">
        <v>11</v>
      </c>
      <c r="C30" s="351" t="s">
        <v>301</v>
      </c>
      <c r="D30" s="353">
        <v>33.31</v>
      </c>
      <c r="E30" s="198">
        <v>32.16</v>
      </c>
      <c r="F30" s="144">
        <v>107.02</v>
      </c>
      <c r="G30" s="144">
        <v>8.32</v>
      </c>
      <c r="H30" s="144">
        <v>357.98</v>
      </c>
      <c r="I30" s="144">
        <v>920.94</v>
      </c>
      <c r="J30" s="144">
        <v>557.47</v>
      </c>
      <c r="K30" s="144">
        <v>461.18</v>
      </c>
      <c r="L30" s="199">
        <v>130.44</v>
      </c>
      <c r="M30" s="199">
        <v>15.48</v>
      </c>
      <c r="N30" s="199">
        <v>46.78</v>
      </c>
      <c r="O30" s="199">
        <v>0</v>
      </c>
      <c r="P30" s="346">
        <f>SUM(D30:O30)</f>
        <v>2671.0800000000004</v>
      </c>
    </row>
    <row r="31" spans="1:16" s="9" customFormat="1" ht="9" customHeight="1" thickBot="1">
      <c r="A31" s="579"/>
      <c r="B31" s="600"/>
      <c r="C31" s="355" t="s">
        <v>246</v>
      </c>
      <c r="D31" s="354">
        <f aca="true" t="shared" si="12" ref="D31:P31">D30*100/D$75</f>
        <v>0.04291354097283374</v>
      </c>
      <c r="E31" s="350">
        <f t="shared" si="12"/>
        <v>0.07407539082979513</v>
      </c>
      <c r="F31" s="350">
        <f t="shared" si="12"/>
        <v>0.2155717272835263</v>
      </c>
      <c r="G31" s="350">
        <f t="shared" si="12"/>
        <v>0.010979891985745924</v>
      </c>
      <c r="H31" s="350">
        <f t="shared" si="12"/>
        <v>0.1297983479888089</v>
      </c>
      <c r="I31" s="350">
        <f t="shared" si="12"/>
        <v>0.5511411450644267</v>
      </c>
      <c r="J31" s="350">
        <f t="shared" si="12"/>
        <v>0.32483886286559743</v>
      </c>
      <c r="K31" s="350">
        <f t="shared" si="12"/>
        <v>0.3541941674082119</v>
      </c>
      <c r="L31" s="350">
        <f t="shared" si="12"/>
        <v>0.027185678394337064</v>
      </c>
      <c r="M31" s="350">
        <f t="shared" si="12"/>
        <v>0.011944054603773352</v>
      </c>
      <c r="N31" s="350">
        <f t="shared" si="12"/>
        <v>0.06815545097375424</v>
      </c>
      <c r="O31" s="350">
        <f t="shared" si="12"/>
        <v>0</v>
      </c>
      <c r="P31" s="350">
        <f t="shared" si="12"/>
        <v>0.15616556785099162</v>
      </c>
    </row>
    <row r="32" spans="1:16" s="9" customFormat="1" ht="9" customHeight="1">
      <c r="A32" s="579"/>
      <c r="B32" s="598" t="s">
        <v>296</v>
      </c>
      <c r="C32" s="351" t="s">
        <v>301</v>
      </c>
      <c r="D32" s="353">
        <v>0</v>
      </c>
      <c r="E32" s="198">
        <v>0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99">
        <v>0</v>
      </c>
      <c r="M32" s="199">
        <v>359.79</v>
      </c>
      <c r="N32" s="199">
        <v>99.9</v>
      </c>
      <c r="O32" s="199">
        <v>171.33</v>
      </c>
      <c r="P32" s="346">
        <f>SUM(D32:O32)</f>
        <v>631.0200000000001</v>
      </c>
    </row>
    <row r="33" spans="1:16" s="9" customFormat="1" ht="9" customHeight="1" thickBot="1">
      <c r="A33" s="579"/>
      <c r="B33" s="599"/>
      <c r="C33" s="352" t="s">
        <v>246</v>
      </c>
      <c r="D33" s="354">
        <f aca="true" t="shared" si="13" ref="D33:P33">D32*100/D$75</f>
        <v>0</v>
      </c>
      <c r="E33" s="350">
        <f t="shared" si="13"/>
        <v>0</v>
      </c>
      <c r="F33" s="350">
        <f t="shared" si="13"/>
        <v>0</v>
      </c>
      <c r="G33" s="350">
        <f t="shared" si="13"/>
        <v>0</v>
      </c>
      <c r="H33" s="350">
        <f t="shared" si="13"/>
        <v>0</v>
      </c>
      <c r="I33" s="350">
        <f t="shared" si="13"/>
        <v>0</v>
      </c>
      <c r="J33" s="350">
        <f t="shared" si="13"/>
        <v>0</v>
      </c>
      <c r="K33" s="350">
        <f t="shared" si="13"/>
        <v>0</v>
      </c>
      <c r="L33" s="350">
        <f t="shared" si="13"/>
        <v>0</v>
      </c>
      <c r="M33" s="350">
        <f t="shared" si="13"/>
        <v>0.27760667996715854</v>
      </c>
      <c r="N33" s="350">
        <f t="shared" si="13"/>
        <v>0.14554787414018913</v>
      </c>
      <c r="O33" s="350">
        <f t="shared" si="13"/>
        <v>0.41592211359425674</v>
      </c>
      <c r="P33" s="350">
        <f t="shared" si="13"/>
        <v>0.036892791165121494</v>
      </c>
    </row>
    <row r="34" spans="1:16" s="9" customFormat="1" ht="9" customHeight="1">
      <c r="A34" s="579"/>
      <c r="B34" s="598" t="s">
        <v>12</v>
      </c>
      <c r="C34" s="351" t="s">
        <v>301</v>
      </c>
      <c r="D34" s="353">
        <v>884.34</v>
      </c>
      <c r="E34" s="198">
        <v>449.25</v>
      </c>
      <c r="F34" s="144">
        <v>886.17</v>
      </c>
      <c r="G34" s="144">
        <v>537.83</v>
      </c>
      <c r="H34" s="144">
        <v>4993.51</v>
      </c>
      <c r="I34" s="144">
        <v>1588.49</v>
      </c>
      <c r="J34" s="144">
        <v>1024.13</v>
      </c>
      <c r="K34" s="144">
        <v>408.85</v>
      </c>
      <c r="L34" s="199">
        <v>427.69</v>
      </c>
      <c r="M34" s="199">
        <v>2307.27</v>
      </c>
      <c r="N34" s="199">
        <v>300.65</v>
      </c>
      <c r="O34" s="199">
        <v>293.58</v>
      </c>
      <c r="P34" s="346">
        <f>SUM(D34:O34)</f>
        <v>14101.760000000002</v>
      </c>
    </row>
    <row r="35" spans="1:16" s="9" customFormat="1" ht="9" customHeight="1" thickBot="1">
      <c r="A35" s="579"/>
      <c r="B35" s="599"/>
      <c r="C35" s="352" t="s">
        <v>246</v>
      </c>
      <c r="D35" s="354">
        <f aca="true" t="shared" si="14" ref="D35:P35">D34*100/D$75</f>
        <v>1.1393023363529207</v>
      </c>
      <c r="E35" s="350">
        <f t="shared" si="14"/>
        <v>1.0347751657427073</v>
      </c>
      <c r="F35" s="350">
        <f t="shared" si="14"/>
        <v>1.7850233373840636</v>
      </c>
      <c r="G35" s="350">
        <f t="shared" si="14"/>
        <v>0.7097734743622273</v>
      </c>
      <c r="H35" s="350">
        <f t="shared" si="14"/>
        <v>1.810574190361465</v>
      </c>
      <c r="I35" s="350">
        <f t="shared" si="14"/>
        <v>0.9506397784040124</v>
      </c>
      <c r="J35" s="350">
        <f t="shared" si="14"/>
        <v>0.5967625605441447</v>
      </c>
      <c r="K35" s="350">
        <f t="shared" si="14"/>
        <v>0.31400382788682824</v>
      </c>
      <c r="L35" s="350">
        <f t="shared" si="14"/>
        <v>0.08913709592513047</v>
      </c>
      <c r="M35" s="350">
        <f t="shared" si="14"/>
        <v>1.7802428207783036</v>
      </c>
      <c r="N35" s="350">
        <f t="shared" si="14"/>
        <v>0.43802771131379237</v>
      </c>
      <c r="O35" s="350">
        <f t="shared" si="14"/>
        <v>0.7126972165353521</v>
      </c>
      <c r="P35" s="350">
        <f t="shared" si="14"/>
        <v>0.824464021331596</v>
      </c>
    </row>
    <row r="36" spans="1:16" s="9" customFormat="1" ht="9" customHeight="1">
      <c r="A36" s="579"/>
      <c r="B36" s="598" t="s">
        <v>13</v>
      </c>
      <c r="C36" s="351" t="s">
        <v>301</v>
      </c>
      <c r="D36" s="353">
        <v>123.12</v>
      </c>
      <c r="E36" s="198">
        <v>0</v>
      </c>
      <c r="F36" s="144">
        <v>0</v>
      </c>
      <c r="G36" s="144">
        <v>8.29</v>
      </c>
      <c r="H36" s="144">
        <v>0</v>
      </c>
      <c r="I36" s="144">
        <v>80.26</v>
      </c>
      <c r="J36" s="144">
        <v>1212.83</v>
      </c>
      <c r="K36" s="144">
        <v>40.05</v>
      </c>
      <c r="L36" s="199">
        <v>443.25</v>
      </c>
      <c r="M36" s="199">
        <v>53.3</v>
      </c>
      <c r="N36" s="199">
        <v>13.65</v>
      </c>
      <c r="O36" s="199">
        <v>28.02</v>
      </c>
      <c r="P36" s="346">
        <f>SUM(D36:O36)</f>
        <v>2002.77</v>
      </c>
    </row>
    <row r="37" spans="1:16" s="9" customFormat="1" ht="9" customHeight="1" thickBot="1">
      <c r="A37" s="579"/>
      <c r="B37" s="599"/>
      <c r="C37" s="352" t="s">
        <v>246</v>
      </c>
      <c r="D37" s="354">
        <f aca="true" t="shared" si="15" ref="D37:P37">D36*100/D$75</f>
        <v>0.15861648647779317</v>
      </c>
      <c r="E37" s="350">
        <f t="shared" si="15"/>
        <v>0</v>
      </c>
      <c r="F37" s="350">
        <f t="shared" si="15"/>
        <v>0</v>
      </c>
      <c r="G37" s="350">
        <f t="shared" si="15"/>
        <v>0.01094030102906655</v>
      </c>
      <c r="H37" s="350">
        <f t="shared" si="15"/>
        <v>0</v>
      </c>
      <c r="I37" s="350">
        <f t="shared" si="15"/>
        <v>0.04803199807030956</v>
      </c>
      <c r="J37" s="350">
        <f t="shared" si="15"/>
        <v>0.7067184208105952</v>
      </c>
      <c r="K37" s="350">
        <f t="shared" si="15"/>
        <v>0.030759088435532513</v>
      </c>
      <c r="L37" s="350">
        <f t="shared" si="15"/>
        <v>0.09238003640209985</v>
      </c>
      <c r="M37" s="350">
        <f t="shared" si="15"/>
        <v>0.041125200929012895</v>
      </c>
      <c r="N37" s="350">
        <f t="shared" si="15"/>
        <v>0.019887171992127944</v>
      </c>
      <c r="O37" s="350">
        <f t="shared" si="15"/>
        <v>0.06802158187656028</v>
      </c>
      <c r="P37" s="350">
        <f t="shared" si="15"/>
        <v>0.11709260461121734</v>
      </c>
    </row>
    <row r="38" spans="1:16" s="9" customFormat="1" ht="9" customHeight="1">
      <c r="A38" s="579"/>
      <c r="B38" s="598" t="s">
        <v>14</v>
      </c>
      <c r="C38" s="351" t="s">
        <v>301</v>
      </c>
      <c r="D38" s="353">
        <v>2710.9</v>
      </c>
      <c r="E38" s="198">
        <v>102</v>
      </c>
      <c r="F38" s="144">
        <v>0</v>
      </c>
      <c r="G38" s="144">
        <v>286.7</v>
      </c>
      <c r="H38" s="144">
        <v>0</v>
      </c>
      <c r="I38" s="144">
        <v>0</v>
      </c>
      <c r="J38" s="144">
        <v>150</v>
      </c>
      <c r="K38" s="144">
        <v>0</v>
      </c>
      <c r="L38" s="199">
        <v>100</v>
      </c>
      <c r="M38" s="199">
        <v>0</v>
      </c>
      <c r="N38" s="199">
        <v>0</v>
      </c>
      <c r="O38" s="199">
        <v>0</v>
      </c>
      <c r="P38" s="346">
        <f>SUM(D38:O38)</f>
        <v>3349.6</v>
      </c>
    </row>
    <row r="39" spans="1:16" s="9" customFormat="1" ht="9" customHeight="1" thickBot="1">
      <c r="A39" s="579"/>
      <c r="B39" s="599"/>
      <c r="C39" s="352" t="s">
        <v>246</v>
      </c>
      <c r="D39" s="354">
        <f aca="true" t="shared" si="16" ref="D39:P39">D38*100/D$75</f>
        <v>3.4924742786927343</v>
      </c>
      <c r="E39" s="350">
        <f t="shared" si="16"/>
        <v>0.23494060524375326</v>
      </c>
      <c r="F39" s="350">
        <f t="shared" si="16"/>
        <v>0</v>
      </c>
      <c r="G39" s="350">
        <f t="shared" si="16"/>
        <v>0.3783575759992015</v>
      </c>
      <c r="H39" s="350">
        <f t="shared" si="16"/>
        <v>0</v>
      </c>
      <c r="I39" s="350">
        <f t="shared" si="16"/>
        <v>0</v>
      </c>
      <c r="J39" s="350">
        <f t="shared" si="16"/>
        <v>0.08740529432945202</v>
      </c>
      <c r="K39" s="350">
        <f t="shared" si="16"/>
        <v>0</v>
      </c>
      <c r="L39" s="350">
        <f t="shared" si="16"/>
        <v>0.020841519774867423</v>
      </c>
      <c r="M39" s="350">
        <f t="shared" si="16"/>
        <v>0</v>
      </c>
      <c r="N39" s="350">
        <f t="shared" si="16"/>
        <v>0</v>
      </c>
      <c r="O39" s="350">
        <f t="shared" si="16"/>
        <v>0</v>
      </c>
      <c r="P39" s="350">
        <f t="shared" si="16"/>
        <v>0.19583546208787508</v>
      </c>
    </row>
    <row r="40" spans="1:16" s="9" customFormat="1" ht="9" customHeight="1">
      <c r="A40" s="579"/>
      <c r="B40" s="598" t="s">
        <v>15</v>
      </c>
      <c r="C40" s="351" t="s">
        <v>301</v>
      </c>
      <c r="D40" s="353">
        <v>5756.16</v>
      </c>
      <c r="E40" s="198">
        <v>3952.66</v>
      </c>
      <c r="F40" s="144">
        <v>2515.46</v>
      </c>
      <c r="G40" s="144">
        <v>8131.97</v>
      </c>
      <c r="H40" s="144">
        <v>18760.91</v>
      </c>
      <c r="I40" s="144">
        <v>10360.78</v>
      </c>
      <c r="J40" s="144">
        <v>8527.97</v>
      </c>
      <c r="K40" s="144">
        <v>4695.34</v>
      </c>
      <c r="L40" s="199">
        <v>9419.41</v>
      </c>
      <c r="M40" s="199">
        <v>7434.76</v>
      </c>
      <c r="N40" s="199">
        <v>1559.27</v>
      </c>
      <c r="O40" s="199">
        <v>2567.03</v>
      </c>
      <c r="P40" s="346">
        <f>SUM(D40:O40)</f>
        <v>83681.72</v>
      </c>
    </row>
    <row r="41" spans="1:16" s="9" customFormat="1" ht="9" customHeight="1" thickBot="1">
      <c r="A41" s="579"/>
      <c r="B41" s="599"/>
      <c r="C41" s="352" t="s">
        <v>246</v>
      </c>
      <c r="D41" s="354">
        <f aca="true" t="shared" si="17" ref="D41:P41">D40*100/D$75</f>
        <v>7.415707235250275</v>
      </c>
      <c r="E41" s="350">
        <f t="shared" si="17"/>
        <v>9.104316987478175</v>
      </c>
      <c r="F41" s="350">
        <f t="shared" si="17"/>
        <v>5.066922604304047</v>
      </c>
      <c r="G41" s="350">
        <f t="shared" si="17"/>
        <v>10.731749066265177</v>
      </c>
      <c r="H41" s="350">
        <f t="shared" si="17"/>
        <v>6.802433445350927</v>
      </c>
      <c r="I41" s="350">
        <f t="shared" si="17"/>
        <v>6.200460565249214</v>
      </c>
      <c r="J41" s="350">
        <f t="shared" si="17"/>
        <v>4.969264852551579</v>
      </c>
      <c r="K41" s="350">
        <f t="shared" si="17"/>
        <v>3.606101830084725</v>
      </c>
      <c r="L41" s="350">
        <f t="shared" si="17"/>
        <v>1.9631481978258394</v>
      </c>
      <c r="M41" s="350">
        <f t="shared" si="17"/>
        <v>5.736510297541987</v>
      </c>
      <c r="N41" s="350">
        <f t="shared" si="17"/>
        <v>2.2717560931989262</v>
      </c>
      <c r="O41" s="350">
        <f t="shared" si="17"/>
        <v>6.2317430879581215</v>
      </c>
      <c r="P41" s="350">
        <f t="shared" si="17"/>
        <v>4.892479192891145</v>
      </c>
    </row>
    <row r="42" spans="1:16" s="9" customFormat="1" ht="9" customHeight="1">
      <c r="A42" s="579"/>
      <c r="B42" s="598" t="s">
        <v>16</v>
      </c>
      <c r="C42" s="351" t="s">
        <v>301</v>
      </c>
      <c r="D42" s="353">
        <v>606.85</v>
      </c>
      <c r="E42" s="198">
        <v>3557.22</v>
      </c>
      <c r="F42" s="144">
        <v>2815.18</v>
      </c>
      <c r="G42" s="144">
        <v>3534.71</v>
      </c>
      <c r="H42" s="144">
        <v>362.44</v>
      </c>
      <c r="I42" s="144">
        <v>99.2</v>
      </c>
      <c r="J42" s="144">
        <v>2260.59</v>
      </c>
      <c r="K42" s="144">
        <v>2207.34</v>
      </c>
      <c r="L42" s="199">
        <v>2983.76</v>
      </c>
      <c r="M42" s="199">
        <v>4095.85</v>
      </c>
      <c r="N42" s="199">
        <v>3.75</v>
      </c>
      <c r="O42" s="199">
        <v>497</v>
      </c>
      <c r="P42" s="346">
        <f>SUM(D42:O42)</f>
        <v>23023.89</v>
      </c>
    </row>
    <row r="43" spans="1:16" s="9" customFormat="1" ht="9" customHeight="1" thickBot="1">
      <c r="A43" s="579"/>
      <c r="B43" s="599"/>
      <c r="C43" s="352" t="s">
        <v>246</v>
      </c>
      <c r="D43" s="354">
        <f aca="true" t="shared" si="18" ref="D43:P43">D42*100/D$75</f>
        <v>0.7818097369968224</v>
      </c>
      <c r="E43" s="350">
        <f t="shared" si="18"/>
        <v>8.193484507697882</v>
      </c>
      <c r="F43" s="350">
        <f t="shared" si="18"/>
        <v>5.6706523567000335</v>
      </c>
      <c r="G43" s="350">
        <f t="shared" si="18"/>
        <v>4.664751682804805</v>
      </c>
      <c r="H43" s="350">
        <f t="shared" si="18"/>
        <v>0.13141547920292726</v>
      </c>
      <c r="I43" s="350">
        <f t="shared" si="18"/>
        <v>0.05936673571610651</v>
      </c>
      <c r="J43" s="350">
        <f t="shared" si="18"/>
        <v>1.3172502287214396</v>
      </c>
      <c r="K43" s="350">
        <f t="shared" si="18"/>
        <v>1.6952750628536417</v>
      </c>
      <c r="L43" s="350">
        <f t="shared" si="18"/>
        <v>0.6218609304345842</v>
      </c>
      <c r="M43" s="350">
        <f t="shared" si="18"/>
        <v>3.160274938557176</v>
      </c>
      <c r="N43" s="350">
        <f t="shared" si="18"/>
        <v>0.005463508789046139</v>
      </c>
      <c r="O43" s="350">
        <f t="shared" si="18"/>
        <v>1.2065212773965188</v>
      </c>
      <c r="P43" s="350">
        <f t="shared" si="18"/>
        <v>1.3460992766928608</v>
      </c>
    </row>
    <row r="44" spans="1:16" s="9" customFormat="1" ht="9" customHeight="1">
      <c r="A44" s="579"/>
      <c r="B44" s="598" t="s">
        <v>17</v>
      </c>
      <c r="C44" s="351" t="s">
        <v>301</v>
      </c>
      <c r="D44" s="353">
        <v>122.4</v>
      </c>
      <c r="E44" s="419"/>
      <c r="F44" s="420"/>
      <c r="G44" s="420"/>
      <c r="H44" s="420"/>
      <c r="I44" s="421"/>
      <c r="J44" s="421"/>
      <c r="K44" s="421"/>
      <c r="L44" s="421"/>
      <c r="M44" s="421"/>
      <c r="N44" s="421"/>
      <c r="O44" s="421"/>
      <c r="P44" s="346">
        <f>SUM(D44:O44)</f>
        <v>122.4</v>
      </c>
    </row>
    <row r="45" spans="1:16" s="9" customFormat="1" ht="9" customHeight="1" thickBot="1">
      <c r="A45" s="579"/>
      <c r="B45" s="599"/>
      <c r="C45" s="352" t="s">
        <v>246</v>
      </c>
      <c r="D45" s="354">
        <f aca="true" t="shared" si="19" ref="D45:P45">D44*100/D$75</f>
        <v>0.15768890468552535</v>
      </c>
      <c r="E45" s="350">
        <f t="shared" si="19"/>
        <v>0</v>
      </c>
      <c r="F45" s="350">
        <f t="shared" si="19"/>
        <v>0</v>
      </c>
      <c r="G45" s="350">
        <f t="shared" si="19"/>
        <v>0</v>
      </c>
      <c r="H45" s="350">
        <f t="shared" si="19"/>
        <v>0</v>
      </c>
      <c r="I45" s="350">
        <f t="shared" si="19"/>
        <v>0</v>
      </c>
      <c r="J45" s="350">
        <f t="shared" si="19"/>
        <v>0</v>
      </c>
      <c r="K45" s="350">
        <f t="shared" si="19"/>
        <v>0</v>
      </c>
      <c r="L45" s="350">
        <f t="shared" si="19"/>
        <v>0</v>
      </c>
      <c r="M45" s="350">
        <f t="shared" si="19"/>
        <v>0</v>
      </c>
      <c r="N45" s="350">
        <f t="shared" si="19"/>
        <v>0</v>
      </c>
      <c r="O45" s="350">
        <f t="shared" si="19"/>
        <v>0</v>
      </c>
      <c r="P45" s="350">
        <f t="shared" si="19"/>
        <v>0.00715615612597203</v>
      </c>
    </row>
    <row r="46" spans="1:16" s="9" customFormat="1" ht="9" customHeight="1">
      <c r="A46" s="579"/>
      <c r="B46" s="598" t="s">
        <v>18</v>
      </c>
      <c r="C46" s="351" t="s">
        <v>301</v>
      </c>
      <c r="D46" s="353">
        <v>0</v>
      </c>
      <c r="E46" s="198">
        <v>0</v>
      </c>
      <c r="F46" s="144">
        <v>1653.1</v>
      </c>
      <c r="G46" s="144">
        <v>556.6</v>
      </c>
      <c r="H46" s="144">
        <v>1196.08</v>
      </c>
      <c r="I46" s="144">
        <v>520.65</v>
      </c>
      <c r="J46" s="144">
        <v>269.79</v>
      </c>
      <c r="K46" s="144">
        <v>1632.7</v>
      </c>
      <c r="L46" s="199">
        <v>82.52</v>
      </c>
      <c r="M46" s="199">
        <v>0</v>
      </c>
      <c r="N46" s="199">
        <v>5.35</v>
      </c>
      <c r="O46" s="199">
        <v>0</v>
      </c>
      <c r="P46" s="346">
        <f>SUM(D46:O46)</f>
        <v>5916.790000000001</v>
      </c>
    </row>
    <row r="47" spans="1:16" s="9" customFormat="1" ht="9" customHeight="1" thickBot="1">
      <c r="A47" s="579"/>
      <c r="B47" s="599"/>
      <c r="C47" s="352" t="s">
        <v>246</v>
      </c>
      <c r="D47" s="354">
        <f aca="true" t="shared" si="20" ref="D47:P47">D46*100/D$75</f>
        <v>0</v>
      </c>
      <c r="E47" s="350">
        <f t="shared" si="20"/>
        <v>0</v>
      </c>
      <c r="F47" s="350">
        <f t="shared" si="20"/>
        <v>3.329860048331128</v>
      </c>
      <c r="G47" s="350">
        <f t="shared" si="20"/>
        <v>0.7345442162579545</v>
      </c>
      <c r="H47" s="350">
        <f t="shared" si="20"/>
        <v>0.4336812337629325</v>
      </c>
      <c r="I47" s="350">
        <f t="shared" si="20"/>
        <v>0.31158559425998844</v>
      </c>
      <c r="J47" s="350">
        <f t="shared" si="20"/>
        <v>0.15720716238095242</v>
      </c>
      <c r="K47" s="350">
        <f t="shared" si="20"/>
        <v>1.2539416651359285</v>
      </c>
      <c r="L47" s="350">
        <f t="shared" si="20"/>
        <v>0.017198422118220598</v>
      </c>
      <c r="M47" s="350">
        <f t="shared" si="20"/>
        <v>0</v>
      </c>
      <c r="N47" s="350">
        <f t="shared" si="20"/>
        <v>0.0077946058723724915</v>
      </c>
      <c r="O47" s="350">
        <f t="shared" si="20"/>
        <v>0</v>
      </c>
      <c r="P47" s="350">
        <f t="shared" si="20"/>
        <v>0.3459270670309645</v>
      </c>
    </row>
    <row r="48" spans="1:16" s="9" customFormat="1" ht="9" customHeight="1">
      <c r="A48" s="579"/>
      <c r="B48" s="598" t="s">
        <v>19</v>
      </c>
      <c r="C48" s="351" t="s">
        <v>301</v>
      </c>
      <c r="D48" s="353">
        <v>0</v>
      </c>
      <c r="E48" s="198">
        <v>0</v>
      </c>
      <c r="F48" s="144">
        <v>0</v>
      </c>
      <c r="G48" s="144">
        <v>71.65</v>
      </c>
      <c r="H48" s="144">
        <v>54.95</v>
      </c>
      <c r="I48" s="144">
        <v>189.55</v>
      </c>
      <c r="J48" s="144">
        <v>168.95</v>
      </c>
      <c r="K48" s="144">
        <v>1814.45</v>
      </c>
      <c r="L48" s="199">
        <v>50.85</v>
      </c>
      <c r="M48" s="199">
        <v>0</v>
      </c>
      <c r="N48" s="199">
        <v>21.15</v>
      </c>
      <c r="O48" s="199">
        <v>0</v>
      </c>
      <c r="P48" s="346">
        <f>SUM(D48:O48)</f>
        <v>2371.55</v>
      </c>
    </row>
    <row r="49" spans="1:16" s="9" customFormat="1" ht="9" customHeight="1" thickBot="1">
      <c r="A49" s="580"/>
      <c r="B49" s="599"/>
      <c r="C49" s="352" t="s">
        <v>246</v>
      </c>
      <c r="D49" s="354">
        <f aca="true" t="shared" si="21" ref="D49:P49">D48*100/D$75</f>
        <v>0</v>
      </c>
      <c r="E49" s="350">
        <f t="shared" si="21"/>
        <v>0</v>
      </c>
      <c r="F49" s="350">
        <f t="shared" si="21"/>
        <v>0</v>
      </c>
      <c r="G49" s="350">
        <f t="shared" si="21"/>
        <v>0.0945564015359009</v>
      </c>
      <c r="H49" s="350">
        <f t="shared" si="21"/>
        <v>0.01992407179726535</v>
      </c>
      <c r="I49" s="350">
        <f t="shared" si="21"/>
        <v>0.11343714470754021</v>
      </c>
      <c r="J49" s="350">
        <f t="shared" si="21"/>
        <v>0.09844749651307279</v>
      </c>
      <c r="K49" s="350">
        <f t="shared" si="21"/>
        <v>1.3935287893096624</v>
      </c>
      <c r="L49" s="350">
        <f t="shared" si="21"/>
        <v>0.010597912805520084</v>
      </c>
      <c r="M49" s="350">
        <f t="shared" si="21"/>
        <v>0</v>
      </c>
      <c r="N49" s="350">
        <f t="shared" si="21"/>
        <v>0.030814189570220224</v>
      </c>
      <c r="O49" s="350">
        <f t="shared" si="21"/>
        <v>0</v>
      </c>
      <c r="P49" s="350">
        <f t="shared" si="21"/>
        <v>0.13865344820709943</v>
      </c>
    </row>
    <row r="50" spans="1:23" ht="19.5" customHeight="1">
      <c r="A50" s="164" t="s">
        <v>251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36"/>
      <c r="Q50" s="36"/>
      <c r="R50" s="36"/>
      <c r="S50" s="36"/>
      <c r="T50" s="36"/>
      <c r="U50" s="36"/>
      <c r="V50" s="36"/>
      <c r="W50" s="36"/>
    </row>
    <row r="51" spans="1:23" ht="12.75">
      <c r="A51" s="14" t="s">
        <v>189</v>
      </c>
      <c r="M51" s="21"/>
      <c r="N51" s="13"/>
      <c r="O51" s="13"/>
      <c r="P51" s="35"/>
      <c r="Q51" s="2"/>
      <c r="R51" s="2"/>
      <c r="S51" s="2"/>
      <c r="T51" s="2"/>
      <c r="U51" s="2"/>
      <c r="V51" s="2"/>
      <c r="W51" s="2"/>
    </row>
    <row r="52" spans="1:23" ht="6.75" customHeight="1" thickBot="1">
      <c r="A52" s="14"/>
      <c r="M52" s="21"/>
      <c r="N52" s="13"/>
      <c r="O52" s="13"/>
      <c r="P52" s="35"/>
      <c r="Q52" s="2"/>
      <c r="R52" s="2"/>
      <c r="S52" s="2"/>
      <c r="T52" s="2"/>
      <c r="U52" s="2"/>
      <c r="V52" s="2"/>
      <c r="W52" s="2"/>
    </row>
    <row r="53" spans="1:23" ht="13.5" customHeight="1" thickBot="1">
      <c r="A53" s="14"/>
      <c r="D53" s="458">
        <v>2008</v>
      </c>
      <c r="E53" s="458"/>
      <c r="F53" s="458"/>
      <c r="G53" s="458"/>
      <c r="H53" s="458"/>
      <c r="I53" s="458"/>
      <c r="J53" s="458"/>
      <c r="K53" s="458"/>
      <c r="L53" s="458"/>
      <c r="M53" s="458"/>
      <c r="N53" s="458"/>
      <c r="O53" s="458"/>
      <c r="P53" s="458"/>
      <c r="Q53" s="2"/>
      <c r="R53" s="2"/>
      <c r="S53" s="2"/>
      <c r="T53" s="2"/>
      <c r="U53" s="2"/>
      <c r="V53" s="2"/>
      <c r="W53" s="2"/>
    </row>
    <row r="54" spans="1:16" ht="48" thickBot="1">
      <c r="A54" s="88" t="s">
        <v>227</v>
      </c>
      <c r="B54" s="182" t="s">
        <v>228</v>
      </c>
      <c r="C54" s="332" t="s">
        <v>236</v>
      </c>
      <c r="D54" s="67" t="s">
        <v>304</v>
      </c>
      <c r="E54" s="67" t="s">
        <v>305</v>
      </c>
      <c r="F54" s="67" t="s">
        <v>306</v>
      </c>
      <c r="G54" s="67" t="s">
        <v>307</v>
      </c>
      <c r="H54" s="67" t="s">
        <v>308</v>
      </c>
      <c r="I54" s="67" t="s">
        <v>309</v>
      </c>
      <c r="J54" s="67" t="s">
        <v>310</v>
      </c>
      <c r="K54" s="67" t="s">
        <v>311</v>
      </c>
      <c r="L54" s="67" t="s">
        <v>312</v>
      </c>
      <c r="M54" s="67" t="s">
        <v>313</v>
      </c>
      <c r="N54" s="67" t="s">
        <v>314</v>
      </c>
      <c r="O54" s="67" t="s">
        <v>315</v>
      </c>
      <c r="P54" s="347" t="s">
        <v>389</v>
      </c>
    </row>
    <row r="55" spans="1:16" s="9" customFormat="1" ht="12.75" customHeight="1">
      <c r="A55" s="557" t="s">
        <v>195</v>
      </c>
      <c r="B55" s="597" t="s">
        <v>20</v>
      </c>
      <c r="C55" s="348" t="s">
        <v>301</v>
      </c>
      <c r="D55" s="353">
        <v>0</v>
      </c>
      <c r="E55" s="198">
        <v>0</v>
      </c>
      <c r="F55" s="144">
        <v>6</v>
      </c>
      <c r="G55" s="144">
        <v>1211.59</v>
      </c>
      <c r="H55" s="144">
        <v>0</v>
      </c>
      <c r="I55" s="144">
        <v>0</v>
      </c>
      <c r="J55" s="144">
        <v>4.97</v>
      </c>
      <c r="K55" s="144">
        <v>889.88</v>
      </c>
      <c r="L55" s="199">
        <v>742.51</v>
      </c>
      <c r="M55" s="199">
        <v>501.28</v>
      </c>
      <c r="N55" s="199">
        <v>10.16</v>
      </c>
      <c r="O55" s="199">
        <v>537.47</v>
      </c>
      <c r="P55" s="346">
        <f>SUM(D55:O55)</f>
        <v>3903.8599999999997</v>
      </c>
    </row>
    <row r="56" spans="1:16" s="9" customFormat="1" ht="12.75" customHeight="1" thickBot="1">
      <c r="A56" s="558"/>
      <c r="B56" s="595"/>
      <c r="C56" s="325" t="s">
        <v>246</v>
      </c>
      <c r="D56" s="354">
        <f aca="true" t="shared" si="22" ref="D56:P56">D55*100/D$75</f>
        <v>0</v>
      </c>
      <c r="E56" s="350">
        <f t="shared" si="22"/>
        <v>0</v>
      </c>
      <c r="F56" s="350">
        <f t="shared" si="22"/>
        <v>0.012085875198104633</v>
      </c>
      <c r="G56" s="350">
        <f t="shared" si="22"/>
        <v>1.5989335734386902</v>
      </c>
      <c r="H56" s="350">
        <f t="shared" si="22"/>
        <v>0</v>
      </c>
      <c r="I56" s="350">
        <f t="shared" si="22"/>
        <v>0</v>
      </c>
      <c r="J56" s="350">
        <f t="shared" si="22"/>
        <v>0.0028960287521158433</v>
      </c>
      <c r="K56" s="350">
        <f t="shared" si="22"/>
        <v>0.683443136504661</v>
      </c>
      <c r="L56" s="350">
        <f t="shared" si="22"/>
        <v>0.1547503684803681</v>
      </c>
      <c r="M56" s="350">
        <f t="shared" si="22"/>
        <v>0.3867774994689603</v>
      </c>
      <c r="N56" s="350">
        <f t="shared" si="22"/>
        <v>0.01480246647912234</v>
      </c>
      <c r="O56" s="350">
        <f t="shared" si="22"/>
        <v>1.3047665814130927</v>
      </c>
      <c r="P56" s="350">
        <f t="shared" si="22"/>
        <v>0.22824045468902912</v>
      </c>
    </row>
    <row r="57" spans="1:16" s="9" customFormat="1" ht="12.75" customHeight="1">
      <c r="A57" s="558"/>
      <c r="B57" s="594" t="s">
        <v>288</v>
      </c>
      <c r="C57" s="319" t="s">
        <v>301</v>
      </c>
      <c r="D57" s="353">
        <v>646.27</v>
      </c>
      <c r="E57" s="198">
        <v>313.37</v>
      </c>
      <c r="F57" s="144">
        <v>318.64</v>
      </c>
      <c r="G57" s="144">
        <v>597.94</v>
      </c>
      <c r="H57" s="144">
        <v>1598.2</v>
      </c>
      <c r="I57" s="144">
        <v>928.16</v>
      </c>
      <c r="J57" s="144">
        <v>458.02</v>
      </c>
      <c r="K57" s="144">
        <v>63.37</v>
      </c>
      <c r="L57" s="199">
        <v>140.36</v>
      </c>
      <c r="M57" s="199">
        <v>101.4</v>
      </c>
      <c r="N57" s="199">
        <v>258.26</v>
      </c>
      <c r="O57" s="199">
        <v>122.86</v>
      </c>
      <c r="P57" s="346">
        <f>SUM(D57:O57)</f>
        <v>5546.849999999999</v>
      </c>
    </row>
    <row r="58" spans="1:16" s="9" customFormat="1" ht="12.75" customHeight="1" thickBot="1">
      <c r="A58" s="558"/>
      <c r="B58" s="595"/>
      <c r="C58" s="325" t="s">
        <v>246</v>
      </c>
      <c r="D58" s="354">
        <f aca="true" t="shared" si="23" ref="D58:P58">D57*100/D$75</f>
        <v>0.8325948401234843</v>
      </c>
      <c r="E58" s="350">
        <f t="shared" si="23"/>
        <v>0.7217974261297545</v>
      </c>
      <c r="F58" s="350">
        <f t="shared" si="23"/>
        <v>0.6418405455206767</v>
      </c>
      <c r="G58" s="350">
        <f t="shared" si="23"/>
        <v>0.7891005545621297</v>
      </c>
      <c r="H58" s="350">
        <f t="shared" si="23"/>
        <v>0.5794841045748769</v>
      </c>
      <c r="I58" s="350">
        <f t="shared" si="23"/>
        <v>0.5554619901437643</v>
      </c>
      <c r="J58" s="350">
        <f t="shared" si="23"/>
        <v>0.2668891527251707</v>
      </c>
      <c r="K58" s="350">
        <f t="shared" si="23"/>
        <v>0.04866924929237692</v>
      </c>
      <c r="L58" s="350">
        <f t="shared" si="23"/>
        <v>0.029253157156003917</v>
      </c>
      <c r="M58" s="350">
        <f t="shared" si="23"/>
        <v>0.07823818713324404</v>
      </c>
      <c r="N58" s="350">
        <f t="shared" si="23"/>
        <v>0.3762682079624149</v>
      </c>
      <c r="O58" s="350">
        <f t="shared" si="23"/>
        <v>0.2982559439455459</v>
      </c>
      <c r="P58" s="350">
        <f t="shared" si="23"/>
        <v>0.32429840365480356</v>
      </c>
    </row>
    <row r="59" spans="1:16" s="9" customFormat="1" ht="12.75" customHeight="1">
      <c r="A59" s="558"/>
      <c r="B59" s="594" t="s">
        <v>196</v>
      </c>
      <c r="C59" s="319" t="s">
        <v>301</v>
      </c>
      <c r="D59" s="353">
        <v>0</v>
      </c>
      <c r="E59" s="198">
        <v>5.7</v>
      </c>
      <c r="F59" s="144">
        <v>0</v>
      </c>
      <c r="G59" s="144">
        <v>0</v>
      </c>
      <c r="H59" s="144">
        <v>254.83</v>
      </c>
      <c r="I59" s="144">
        <v>24.74</v>
      </c>
      <c r="J59" s="144">
        <v>6.45</v>
      </c>
      <c r="K59" s="144">
        <v>0</v>
      </c>
      <c r="L59" s="199">
        <v>0.95</v>
      </c>
      <c r="M59" s="199">
        <v>34.51</v>
      </c>
      <c r="N59" s="199">
        <v>0</v>
      </c>
      <c r="O59" s="199">
        <v>75.69</v>
      </c>
      <c r="P59" s="346">
        <f>SUM(D59:O59)</f>
        <v>402.87</v>
      </c>
    </row>
    <row r="60" spans="1:16" s="9" customFormat="1" ht="12.75" customHeight="1" thickBot="1">
      <c r="A60" s="558"/>
      <c r="B60" s="595"/>
      <c r="C60" s="325" t="s">
        <v>246</v>
      </c>
      <c r="D60" s="354">
        <f aca="true" t="shared" si="24" ref="D60:P60">D59*100/D$75</f>
        <v>0</v>
      </c>
      <c r="E60" s="350">
        <f t="shared" si="24"/>
        <v>0.013129033822445034</v>
      </c>
      <c r="F60" s="350">
        <f t="shared" si="24"/>
        <v>0</v>
      </c>
      <c r="G60" s="350">
        <f t="shared" si="24"/>
        <v>0</v>
      </c>
      <c r="H60" s="350">
        <f t="shared" si="24"/>
        <v>0.0923976563438968</v>
      </c>
      <c r="I60" s="350">
        <f t="shared" si="24"/>
        <v>0.014805776629198337</v>
      </c>
      <c r="J60" s="350">
        <f t="shared" si="24"/>
        <v>0.0037584276561664367</v>
      </c>
      <c r="K60" s="350">
        <f t="shared" si="24"/>
        <v>0</v>
      </c>
      <c r="L60" s="350">
        <f t="shared" si="24"/>
        <v>0.0001979944378612405</v>
      </c>
      <c r="M60" s="350">
        <f t="shared" si="24"/>
        <v>0.02662721733696501</v>
      </c>
      <c r="N60" s="350">
        <f t="shared" si="24"/>
        <v>0</v>
      </c>
      <c r="O60" s="350">
        <f t="shared" si="24"/>
        <v>0.18374566496205738</v>
      </c>
      <c r="P60" s="350">
        <f t="shared" si="24"/>
        <v>0.0235539266214898</v>
      </c>
    </row>
    <row r="61" spans="1:16" s="9" customFormat="1" ht="12.75" customHeight="1">
      <c r="A61" s="558"/>
      <c r="B61" s="594" t="s">
        <v>250</v>
      </c>
      <c r="C61" s="319" t="s">
        <v>301</v>
      </c>
      <c r="D61" s="353">
        <v>0</v>
      </c>
      <c r="E61" s="198">
        <v>0</v>
      </c>
      <c r="F61" s="198">
        <v>0</v>
      </c>
      <c r="G61" s="198">
        <v>0</v>
      </c>
      <c r="H61" s="144">
        <v>0</v>
      </c>
      <c r="I61" s="144">
        <v>9.5</v>
      </c>
      <c r="J61" s="420"/>
      <c r="K61" s="420"/>
      <c r="L61" s="420"/>
      <c r="M61" s="420"/>
      <c r="N61" s="420"/>
      <c r="O61" s="419"/>
      <c r="P61" s="346">
        <f>SUM(D61:O61)</f>
        <v>9.5</v>
      </c>
    </row>
    <row r="62" spans="1:16" s="9" customFormat="1" ht="12.75" customHeight="1" thickBot="1">
      <c r="A62" s="558"/>
      <c r="B62" s="597"/>
      <c r="C62" s="325" t="s">
        <v>246</v>
      </c>
      <c r="D62" s="354">
        <f aca="true" t="shared" si="25" ref="D62:P62">D61*100/D$75</f>
        <v>0</v>
      </c>
      <c r="E62" s="350">
        <f t="shared" si="25"/>
        <v>0</v>
      </c>
      <c r="F62" s="350">
        <f t="shared" si="25"/>
        <v>0</v>
      </c>
      <c r="G62" s="350">
        <f t="shared" si="25"/>
        <v>0</v>
      </c>
      <c r="H62" s="350">
        <f t="shared" si="25"/>
        <v>0</v>
      </c>
      <c r="I62" s="350">
        <f t="shared" si="25"/>
        <v>0.005685322472812619</v>
      </c>
      <c r="J62" s="350">
        <f t="shared" si="25"/>
        <v>0</v>
      </c>
      <c r="K62" s="350">
        <f t="shared" si="25"/>
        <v>0</v>
      </c>
      <c r="L62" s="350">
        <f t="shared" si="25"/>
        <v>0</v>
      </c>
      <c r="M62" s="350">
        <f t="shared" si="25"/>
        <v>0</v>
      </c>
      <c r="N62" s="350">
        <f t="shared" si="25"/>
        <v>0</v>
      </c>
      <c r="O62" s="350">
        <f t="shared" si="25"/>
        <v>0</v>
      </c>
      <c r="P62" s="350">
        <f t="shared" si="25"/>
        <v>0.0005554206143524043</v>
      </c>
    </row>
    <row r="63" spans="1:16" s="9" customFormat="1" ht="12.75" customHeight="1">
      <c r="A63" s="558"/>
      <c r="B63" s="594" t="s">
        <v>249</v>
      </c>
      <c r="C63" s="319" t="s">
        <v>301</v>
      </c>
      <c r="D63" s="353">
        <v>0</v>
      </c>
      <c r="E63" s="198">
        <v>0</v>
      </c>
      <c r="F63" s="198">
        <v>0</v>
      </c>
      <c r="G63" s="198">
        <v>0</v>
      </c>
      <c r="H63" s="198">
        <v>0</v>
      </c>
      <c r="I63" s="198">
        <v>0</v>
      </c>
      <c r="J63" s="198">
        <v>0</v>
      </c>
      <c r="K63" s="198">
        <v>0</v>
      </c>
      <c r="L63" s="198">
        <v>0</v>
      </c>
      <c r="M63" s="198">
        <v>0</v>
      </c>
      <c r="N63" s="198">
        <v>0</v>
      </c>
      <c r="O63" s="199">
        <v>25.74</v>
      </c>
      <c r="P63" s="346">
        <f>SUM(D63:O63)</f>
        <v>25.74</v>
      </c>
    </row>
    <row r="64" spans="1:16" s="9" customFormat="1" ht="12.75" customHeight="1" thickBot="1">
      <c r="A64" s="558"/>
      <c r="B64" s="595"/>
      <c r="C64" s="325" t="s">
        <v>246</v>
      </c>
      <c r="D64" s="354">
        <f aca="true" t="shared" si="26" ref="D64:P64">D63*100/D$75</f>
        <v>0</v>
      </c>
      <c r="E64" s="350">
        <f t="shared" si="26"/>
        <v>0</v>
      </c>
      <c r="F64" s="350">
        <f t="shared" si="26"/>
        <v>0</v>
      </c>
      <c r="G64" s="350">
        <f t="shared" si="26"/>
        <v>0</v>
      </c>
      <c r="H64" s="350">
        <f t="shared" si="26"/>
        <v>0</v>
      </c>
      <c r="I64" s="350">
        <f t="shared" si="26"/>
        <v>0</v>
      </c>
      <c r="J64" s="350">
        <f t="shared" si="26"/>
        <v>0</v>
      </c>
      <c r="K64" s="350">
        <f t="shared" si="26"/>
        <v>0</v>
      </c>
      <c r="L64" s="350">
        <f t="shared" si="26"/>
        <v>0</v>
      </c>
      <c r="M64" s="350">
        <f t="shared" si="26"/>
        <v>0</v>
      </c>
      <c r="N64" s="350">
        <f t="shared" si="26"/>
        <v>0</v>
      </c>
      <c r="O64" s="350">
        <f t="shared" si="26"/>
        <v>0.062486635171401204</v>
      </c>
      <c r="P64" s="350">
        <f t="shared" si="26"/>
        <v>0.0015048975382558828</v>
      </c>
    </row>
    <row r="65" spans="1:16" s="9" customFormat="1" ht="12.75" customHeight="1">
      <c r="A65" s="558"/>
      <c r="B65" s="594" t="s">
        <v>248</v>
      </c>
      <c r="C65" s="319" t="s">
        <v>301</v>
      </c>
      <c r="D65" s="353">
        <v>0</v>
      </c>
      <c r="E65" s="198">
        <v>0</v>
      </c>
      <c r="F65" s="198">
        <v>0</v>
      </c>
      <c r="G65" s="198">
        <v>0</v>
      </c>
      <c r="H65" s="198">
        <v>0</v>
      </c>
      <c r="I65" s="198">
        <v>0</v>
      </c>
      <c r="J65" s="198">
        <v>0</v>
      </c>
      <c r="K65" s="198">
        <v>0</v>
      </c>
      <c r="L65" s="198">
        <v>0</v>
      </c>
      <c r="M65" s="198">
        <v>0</v>
      </c>
      <c r="N65" s="198">
        <v>0</v>
      </c>
      <c r="O65" s="199">
        <v>0</v>
      </c>
      <c r="P65" s="346">
        <f>SUM(D65:O65)</f>
        <v>0</v>
      </c>
    </row>
    <row r="66" spans="1:16" s="9" customFormat="1" ht="12.75" customHeight="1" thickBot="1">
      <c r="A66" s="559"/>
      <c r="B66" s="595"/>
      <c r="C66" s="325" t="s">
        <v>246</v>
      </c>
      <c r="D66" s="354">
        <f aca="true" t="shared" si="27" ref="D66:P66">D65*100/D$75</f>
        <v>0</v>
      </c>
      <c r="E66" s="350">
        <f t="shared" si="27"/>
        <v>0</v>
      </c>
      <c r="F66" s="350">
        <f t="shared" si="27"/>
        <v>0</v>
      </c>
      <c r="G66" s="350">
        <f t="shared" si="27"/>
        <v>0</v>
      </c>
      <c r="H66" s="350">
        <f t="shared" si="27"/>
        <v>0</v>
      </c>
      <c r="I66" s="350">
        <f t="shared" si="27"/>
        <v>0</v>
      </c>
      <c r="J66" s="350">
        <f t="shared" si="27"/>
        <v>0</v>
      </c>
      <c r="K66" s="350">
        <f t="shared" si="27"/>
        <v>0</v>
      </c>
      <c r="L66" s="350">
        <f t="shared" si="27"/>
        <v>0</v>
      </c>
      <c r="M66" s="350">
        <f t="shared" si="27"/>
        <v>0</v>
      </c>
      <c r="N66" s="350">
        <f t="shared" si="27"/>
        <v>0</v>
      </c>
      <c r="O66" s="350">
        <f t="shared" si="27"/>
        <v>0</v>
      </c>
      <c r="P66" s="350">
        <f t="shared" si="27"/>
        <v>0</v>
      </c>
    </row>
    <row r="67" spans="1:16" s="9" customFormat="1" ht="12.75" customHeight="1">
      <c r="A67" s="557" t="s">
        <v>200</v>
      </c>
      <c r="B67" s="594" t="s">
        <v>289</v>
      </c>
      <c r="C67" s="319" t="s">
        <v>301</v>
      </c>
      <c r="D67" s="353">
        <v>42.93</v>
      </c>
      <c r="E67" s="198">
        <v>219.71</v>
      </c>
      <c r="F67" s="144">
        <v>360.66</v>
      </c>
      <c r="G67" s="144">
        <v>40.16</v>
      </c>
      <c r="H67" s="144">
        <v>7.04</v>
      </c>
      <c r="I67" s="144">
        <v>0</v>
      </c>
      <c r="J67" s="357">
        <v>52.75</v>
      </c>
      <c r="K67" s="357">
        <v>0</v>
      </c>
      <c r="L67" s="357">
        <v>0</v>
      </c>
      <c r="M67" s="357">
        <v>0</v>
      </c>
      <c r="N67" s="357">
        <v>0</v>
      </c>
      <c r="O67" s="357">
        <v>0</v>
      </c>
      <c r="P67" s="346">
        <f>SUM(D67:O67)</f>
        <v>723.2499999999999</v>
      </c>
    </row>
    <row r="68" spans="1:16" s="9" customFormat="1" ht="12.75" customHeight="1" thickBot="1">
      <c r="A68" s="558"/>
      <c r="B68" s="595"/>
      <c r="C68" s="325" t="s">
        <v>246</v>
      </c>
      <c r="D68" s="354">
        <f aca="true" t="shared" si="28" ref="D68:P68">D67*100/D$75</f>
        <v>0.05530706436396735</v>
      </c>
      <c r="E68" s="350">
        <f t="shared" si="28"/>
        <v>0.5060666703735787</v>
      </c>
      <c r="F68" s="350">
        <f t="shared" si="28"/>
        <v>0.7264819581580695</v>
      </c>
      <c r="G68" s="350">
        <f t="shared" si="28"/>
        <v>0.052999094008119745</v>
      </c>
      <c r="H68" s="350">
        <f t="shared" si="28"/>
        <v>0.0025526017370836773</v>
      </c>
      <c r="I68" s="350">
        <f t="shared" si="28"/>
        <v>0</v>
      </c>
      <c r="J68" s="350">
        <f t="shared" si="28"/>
        <v>0.03073752850585729</v>
      </c>
      <c r="K68" s="350">
        <f t="shared" si="28"/>
        <v>0</v>
      </c>
      <c r="L68" s="350">
        <f t="shared" si="28"/>
        <v>0</v>
      </c>
      <c r="M68" s="350">
        <f t="shared" si="28"/>
        <v>0</v>
      </c>
      <c r="N68" s="350">
        <f t="shared" si="28"/>
        <v>0</v>
      </c>
      <c r="O68" s="350">
        <f t="shared" si="28"/>
        <v>0</v>
      </c>
      <c r="P68" s="350">
        <f t="shared" si="28"/>
        <v>0.04228504835056593</v>
      </c>
    </row>
    <row r="69" spans="1:16" s="9" customFormat="1" ht="12.75" customHeight="1">
      <c r="A69" s="558"/>
      <c r="B69" s="594" t="s">
        <v>292</v>
      </c>
      <c r="C69" s="319" t="s">
        <v>301</v>
      </c>
      <c r="D69" s="358">
        <v>193.32</v>
      </c>
      <c r="E69" s="334">
        <v>974.21</v>
      </c>
      <c r="F69" s="338">
        <v>813.85</v>
      </c>
      <c r="G69" s="338">
        <v>164.46</v>
      </c>
      <c r="H69" s="338">
        <v>30.3</v>
      </c>
      <c r="I69" s="338">
        <v>203.27</v>
      </c>
      <c r="J69" s="338">
        <v>149.44</v>
      </c>
      <c r="K69" s="338">
        <v>447.26</v>
      </c>
      <c r="L69" s="152">
        <v>0</v>
      </c>
      <c r="M69" s="152">
        <v>0</v>
      </c>
      <c r="N69" s="152">
        <v>25.05</v>
      </c>
      <c r="O69" s="152">
        <v>0</v>
      </c>
      <c r="P69" s="346">
        <f>SUM(D69:O69)</f>
        <v>3001.1600000000008</v>
      </c>
    </row>
    <row r="70" spans="1:16" s="9" customFormat="1" ht="12.75" customHeight="1" thickBot="1">
      <c r="A70" s="558"/>
      <c r="B70" s="595"/>
      <c r="C70" s="325" t="s">
        <v>246</v>
      </c>
      <c r="D70" s="354">
        <f aca="true" t="shared" si="29" ref="D70:P70">D69*100/D$75</f>
        <v>0.2490557112239033</v>
      </c>
      <c r="E70" s="350">
        <f t="shared" si="29"/>
        <v>2.243936147397224</v>
      </c>
      <c r="F70" s="350">
        <f t="shared" si="29"/>
        <v>1.6393482549962426</v>
      </c>
      <c r="G70" s="350">
        <f t="shared" si="29"/>
        <v>0.21703762451631906</v>
      </c>
      <c r="H70" s="350">
        <f t="shared" si="29"/>
        <v>0.010986339862732303</v>
      </c>
      <c r="I70" s="350">
        <f t="shared" si="29"/>
        <v>0.12164794726827591</v>
      </c>
      <c r="J70" s="350">
        <f t="shared" si="29"/>
        <v>0.08707898123062206</v>
      </c>
      <c r="K70" s="350">
        <f t="shared" si="29"/>
        <v>0.34350336813174215</v>
      </c>
      <c r="L70" s="350">
        <f t="shared" si="29"/>
        <v>0</v>
      </c>
      <c r="M70" s="350">
        <f t="shared" si="29"/>
        <v>0</v>
      </c>
      <c r="N70" s="350">
        <f t="shared" si="29"/>
        <v>0.03649623871082821</v>
      </c>
      <c r="O70" s="350">
        <f t="shared" si="29"/>
        <v>0</v>
      </c>
      <c r="P70" s="350">
        <f t="shared" si="29"/>
        <v>0.17546380325998548</v>
      </c>
    </row>
    <row r="71" spans="1:16" s="9" customFormat="1" ht="12.75" customHeight="1">
      <c r="A71" s="558"/>
      <c r="B71" s="594" t="s">
        <v>290</v>
      </c>
      <c r="C71" s="319" t="s">
        <v>301</v>
      </c>
      <c r="D71" s="353">
        <v>0</v>
      </c>
      <c r="E71" s="198">
        <f>183263/1507.5</f>
        <v>121.56749585406301</v>
      </c>
      <c r="F71" s="198">
        <f>20760/1507.5</f>
        <v>13.771144278606965</v>
      </c>
      <c r="G71" s="198">
        <f>9134/1507.5</f>
        <v>6.059038142620232</v>
      </c>
      <c r="H71" s="198">
        <f>20800/1507.5</f>
        <v>13.797678275290215</v>
      </c>
      <c r="I71" s="198">
        <v>0</v>
      </c>
      <c r="J71" s="198">
        <f>6996/1507.5</f>
        <v>4.640796019900497</v>
      </c>
      <c r="K71" s="198">
        <f>533248/1507.5</f>
        <v>353.73001658374795</v>
      </c>
      <c r="L71" s="198">
        <f>464123/1507.5</f>
        <v>307.8759535655058</v>
      </c>
      <c r="M71" s="198">
        <v>0</v>
      </c>
      <c r="N71" s="198">
        <f>1503/1507.5</f>
        <v>0.9970149253731343</v>
      </c>
      <c r="O71" s="359">
        <v>0</v>
      </c>
      <c r="P71" s="346">
        <f>SUM(D71:O71)</f>
        <v>822.4391376451078</v>
      </c>
    </row>
    <row r="72" spans="1:16" s="9" customFormat="1" ht="12.75" customHeight="1" thickBot="1">
      <c r="A72" s="558"/>
      <c r="B72" s="595"/>
      <c r="C72" s="325" t="s">
        <v>246</v>
      </c>
      <c r="D72" s="354">
        <f aca="true" t="shared" si="30" ref="D72:P72">D71*100/D$75</f>
        <v>0</v>
      </c>
      <c r="E72" s="350">
        <f t="shared" si="30"/>
        <v>0.28001118680314735</v>
      </c>
      <c r="F72" s="350">
        <f t="shared" si="30"/>
        <v>0.027739388514389403</v>
      </c>
      <c r="G72" s="350">
        <f t="shared" si="30"/>
        <v>0.007996103887438072</v>
      </c>
      <c r="H72" s="350">
        <f t="shared" si="30"/>
        <v>0.0050028377177880005</v>
      </c>
      <c r="I72" s="350">
        <f t="shared" si="30"/>
        <v>0</v>
      </c>
      <c r="J72" s="350">
        <f t="shared" si="30"/>
        <v>0.002704200946949016</v>
      </c>
      <c r="K72" s="350">
        <f t="shared" si="30"/>
        <v>0.2716707331436176</v>
      </c>
      <c r="L72" s="350">
        <f t="shared" si="30"/>
        <v>0.06416602774441654</v>
      </c>
      <c r="M72" s="350">
        <f t="shared" si="30"/>
        <v>0</v>
      </c>
      <c r="N72" s="350">
        <f t="shared" si="30"/>
        <v>0.0014525866153563465</v>
      </c>
      <c r="O72" s="350">
        <f t="shared" si="30"/>
        <v>0</v>
      </c>
      <c r="P72" s="350">
        <f t="shared" si="30"/>
        <v>0.04808417379982183</v>
      </c>
    </row>
    <row r="73" spans="1:16" s="9" customFormat="1" ht="12.75" customHeight="1">
      <c r="A73" s="558"/>
      <c r="B73" s="594" t="s">
        <v>291</v>
      </c>
      <c r="C73" s="319" t="s">
        <v>301</v>
      </c>
      <c r="D73" s="353">
        <f>438000/1507.5</f>
        <v>290.547263681592</v>
      </c>
      <c r="E73" s="198">
        <f>633528/1507.5</f>
        <v>420.2507462686567</v>
      </c>
      <c r="F73" s="198">
        <f>388148/1507.5</f>
        <v>257.47794361525706</v>
      </c>
      <c r="G73" s="198">
        <f>7283/1507.5</f>
        <v>4.831177446102819</v>
      </c>
      <c r="H73" s="198">
        <f>210750/1507.5</f>
        <v>139.80099502487562</v>
      </c>
      <c r="I73" s="198">
        <f>19269/1507.5</f>
        <v>12.782089552238807</v>
      </c>
      <c r="J73" s="198">
        <f>66688/1507.5</f>
        <v>44.23747927031509</v>
      </c>
      <c r="K73" s="198">
        <f>12345/1507.5</f>
        <v>8.189054726368159</v>
      </c>
      <c r="L73" s="198">
        <f>166673/1507.5</f>
        <v>110.5625207296849</v>
      </c>
      <c r="M73" s="198">
        <v>0</v>
      </c>
      <c r="N73" s="198">
        <f>165332/1507.5</f>
        <v>109.67296849087894</v>
      </c>
      <c r="O73" s="359">
        <f>2244/1507.5</f>
        <v>1.4885572139303482</v>
      </c>
      <c r="P73" s="346">
        <f>SUM(D73:O73)</f>
        <v>1399.8407960199006</v>
      </c>
    </row>
    <row r="74" spans="1:16" s="9" customFormat="1" ht="12.75" customHeight="1" thickBot="1">
      <c r="A74" s="559"/>
      <c r="B74" s="595"/>
      <c r="C74" s="325" t="s">
        <v>246</v>
      </c>
      <c r="D74" s="354">
        <f aca="true" t="shared" si="31" ref="D74:P74">D73*100/D$75</f>
        <v>0.3743143772003821</v>
      </c>
      <c r="E74" s="350">
        <f t="shared" si="31"/>
        <v>0.9679800459068352</v>
      </c>
      <c r="F74" s="350">
        <f t="shared" si="31"/>
        <v>0.5186410487997697</v>
      </c>
      <c r="G74" s="350">
        <f t="shared" si="31"/>
        <v>0.006375697899300577</v>
      </c>
      <c r="H74" s="350">
        <f t="shared" si="31"/>
        <v>0.05068981004922216</v>
      </c>
      <c r="I74" s="350">
        <f t="shared" si="31"/>
        <v>0.007649505366404913</v>
      </c>
      <c r="J74" s="350">
        <f t="shared" si="31"/>
        <v>0.025777265973432818</v>
      </c>
      <c r="K74" s="350">
        <f t="shared" si="31"/>
        <v>0.006289334794800843</v>
      </c>
      <c r="L74" s="350">
        <f t="shared" si="31"/>
        <v>0.02304290962146917</v>
      </c>
      <c r="M74" s="350">
        <f t="shared" si="31"/>
        <v>0</v>
      </c>
      <c r="N74" s="350">
        <f t="shared" si="31"/>
        <v>0.1597864606055193</v>
      </c>
      <c r="O74" s="350">
        <f t="shared" si="31"/>
        <v>0.0036136337046862115</v>
      </c>
      <c r="P74" s="350">
        <f t="shared" si="31"/>
        <v>0.08184215104430861</v>
      </c>
    </row>
    <row r="75" spans="1:16" ht="12.75" customHeight="1" thickBot="1">
      <c r="A75" s="511" t="s">
        <v>247</v>
      </c>
      <c r="B75" s="511"/>
      <c r="C75" s="511"/>
      <c r="D75" s="361">
        <f>D6+D8+D10+D12+D14+D16+D18+D20+D22+D24+D26+D28+D30+D32+D34+D36+D38+D40+D42+D44+D46+D48+D55+D57+D59+D61+D63+D65+D67+D69+D71+D73</f>
        <v>77621.18726368158</v>
      </c>
      <c r="E75" s="361">
        <f aca="true" t="shared" si="32" ref="E75:O75">E6+E8+E10+E12+E14+E16+E18+E20+E22+E24+E26+E28+E30+E32+E34+E36+E38+E40+E42+E44+E46+E48+E55+E57+E59+E61+E63+E65+E67+E69+E71+E73</f>
        <v>43415.228242122714</v>
      </c>
      <c r="F75" s="361">
        <f t="shared" si="32"/>
        <v>49644.72908789386</v>
      </c>
      <c r="G75" s="361">
        <f t="shared" si="32"/>
        <v>75774.88021558872</v>
      </c>
      <c r="H75" s="361">
        <f t="shared" si="32"/>
        <v>275797.0386733001</v>
      </c>
      <c r="I75" s="361">
        <f t="shared" si="32"/>
        <v>167096.9420895522</v>
      </c>
      <c r="J75" s="361">
        <f t="shared" si="32"/>
        <v>171614.31827529025</v>
      </c>
      <c r="K75" s="361">
        <f t="shared" si="32"/>
        <v>130205.41907131011</v>
      </c>
      <c r="L75" s="361">
        <f t="shared" si="32"/>
        <v>479811.4584742951</v>
      </c>
      <c r="M75" s="361">
        <f t="shared" si="32"/>
        <v>129604.22999999998</v>
      </c>
      <c r="N75" s="361">
        <f t="shared" si="32"/>
        <v>68637.20998341624</v>
      </c>
      <c r="O75" s="361">
        <f t="shared" si="32"/>
        <v>41192.808557213924</v>
      </c>
      <c r="P75" s="132">
        <f>SUM(D75:O75)</f>
        <v>1710415.4499336646</v>
      </c>
    </row>
    <row r="76" spans="1:16" ht="12.75" customHeight="1" thickBot="1">
      <c r="A76" s="596" t="s">
        <v>246</v>
      </c>
      <c r="B76" s="596"/>
      <c r="C76" s="596"/>
      <c r="D76" s="362">
        <f>D7+D9+D11+D13+D15+D17+D19+D21+D23+D25+D27+D29+D31+D33+D35+D37+D39+D41+D43+D45+D47+D49+D56+D58+D60+D62+D64+D66+D68+D70+D72+D74</f>
        <v>100.00000000000004</v>
      </c>
      <c r="E76" s="362">
        <f aca="true" t="shared" si="33" ref="E76:P76">E7+E9+E11+E13+E15+E17+E19+E21+E23+E25+E27+E29+E31+E33+E35+E37+E39+E41+E43+E45+E47+E49+E56+E58+E60+E62+E64+E66+E68+E70+E72+E74</f>
        <v>100.00000000000001</v>
      </c>
      <c r="F76" s="362">
        <f t="shared" si="33"/>
        <v>99.99999999999999</v>
      </c>
      <c r="G76" s="362">
        <f t="shared" si="33"/>
        <v>99.99999999999999</v>
      </c>
      <c r="H76" s="362">
        <f t="shared" si="33"/>
        <v>99.99999999999996</v>
      </c>
      <c r="I76" s="362">
        <f t="shared" si="33"/>
        <v>100.00000000000004</v>
      </c>
      <c r="J76" s="362">
        <f t="shared" si="33"/>
        <v>99.99999999999999</v>
      </c>
      <c r="K76" s="362">
        <f t="shared" si="33"/>
        <v>99.99999999999999</v>
      </c>
      <c r="L76" s="362">
        <f t="shared" si="33"/>
        <v>100.00000000000001</v>
      </c>
      <c r="M76" s="362">
        <f t="shared" si="33"/>
        <v>100.00000000000003</v>
      </c>
      <c r="N76" s="362">
        <f t="shared" si="33"/>
        <v>100.00000000000004</v>
      </c>
      <c r="O76" s="362">
        <f t="shared" si="33"/>
        <v>100.00000000000001</v>
      </c>
      <c r="P76" s="362">
        <f t="shared" si="33"/>
        <v>100.00000000000001</v>
      </c>
    </row>
  </sheetData>
  <sheetProtection/>
  <mergeCells count="40">
    <mergeCell ref="A75:C75"/>
    <mergeCell ref="A6:A9"/>
    <mergeCell ref="B6:B7"/>
    <mergeCell ref="B8:B9"/>
    <mergeCell ref="B10:B11"/>
    <mergeCell ref="B12:B13"/>
    <mergeCell ref="B14:B15"/>
    <mergeCell ref="B16:B17"/>
    <mergeCell ref="B18:B19"/>
    <mergeCell ref="B26:B27"/>
    <mergeCell ref="B36:B37"/>
    <mergeCell ref="B38:B39"/>
    <mergeCell ref="B40:B41"/>
    <mergeCell ref="A55:A66"/>
    <mergeCell ref="B44:B45"/>
    <mergeCell ref="B46:B47"/>
    <mergeCell ref="A10:A49"/>
    <mergeCell ref="B48:B49"/>
    <mergeCell ref="B55:B56"/>
    <mergeCell ref="B57:B58"/>
    <mergeCell ref="B20:B21"/>
    <mergeCell ref="B22:B23"/>
    <mergeCell ref="B24:B25"/>
    <mergeCell ref="B69:B70"/>
    <mergeCell ref="B71:B72"/>
    <mergeCell ref="B28:B29"/>
    <mergeCell ref="B30:B31"/>
    <mergeCell ref="B67:B68"/>
    <mergeCell ref="B42:B43"/>
    <mergeCell ref="B34:B35"/>
    <mergeCell ref="D53:P53"/>
    <mergeCell ref="B73:B74"/>
    <mergeCell ref="A67:A74"/>
    <mergeCell ref="A76:C76"/>
    <mergeCell ref="D4:P4"/>
    <mergeCell ref="B59:B60"/>
    <mergeCell ref="B61:B62"/>
    <mergeCell ref="B63:B64"/>
    <mergeCell ref="B65:B66"/>
    <mergeCell ref="B32:B33"/>
  </mergeCells>
  <printOptions horizontalCentered="1"/>
  <pageMargins left="0" right="0" top="0.5" bottom="0.5" header="0" footer="0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O71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8.8515625" style="21" customWidth="1"/>
    <col min="2" max="2" width="23.140625" style="56" bestFit="1" customWidth="1"/>
    <col min="3" max="3" width="11.28125" style="13" customWidth="1"/>
    <col min="4" max="7" width="11.28125" style="2" customWidth="1"/>
    <col min="8" max="8" width="11.28125" style="16" customWidth="1"/>
    <col min="9" max="16384" width="9.140625" style="5" customWidth="1"/>
  </cols>
  <sheetData>
    <row r="1" spans="1:15" ht="19.5" customHeight="1">
      <c r="A1" s="514" t="s">
        <v>252</v>
      </c>
      <c r="B1" s="514"/>
      <c r="C1" s="514"/>
      <c r="D1" s="514"/>
      <c r="E1" s="514"/>
      <c r="F1" s="514"/>
      <c r="G1" s="514"/>
      <c r="H1" s="514"/>
      <c r="I1" s="36"/>
      <c r="J1" s="36"/>
      <c r="K1" s="36"/>
      <c r="L1" s="36"/>
      <c r="M1" s="36"/>
      <c r="N1" s="36"/>
      <c r="O1" s="36"/>
    </row>
    <row r="2" spans="1:15" ht="12.75">
      <c r="A2" s="14" t="s">
        <v>189</v>
      </c>
      <c r="H2" s="35"/>
      <c r="I2" s="2"/>
      <c r="J2" s="2"/>
      <c r="K2" s="2"/>
      <c r="L2" s="2"/>
      <c r="M2" s="2"/>
      <c r="N2" s="2"/>
      <c r="O2" s="2"/>
    </row>
    <row r="3" spans="1:15" ht="6.75" customHeight="1" thickBot="1">
      <c r="A3" s="14"/>
      <c r="H3" s="35"/>
      <c r="I3" s="2"/>
      <c r="J3" s="2"/>
      <c r="K3" s="2"/>
      <c r="L3" s="2"/>
      <c r="M3" s="2"/>
      <c r="N3" s="2"/>
      <c r="O3" s="2"/>
    </row>
    <row r="4" spans="1:15" ht="13.5" customHeight="1" thickBot="1">
      <c r="A4" s="14"/>
      <c r="C4" s="458">
        <v>2008</v>
      </c>
      <c r="D4" s="605"/>
      <c r="E4" s="605"/>
      <c r="F4" s="605"/>
      <c r="G4" s="605"/>
      <c r="H4" s="605"/>
      <c r="I4" s="2"/>
      <c r="J4" s="2"/>
      <c r="K4" s="2"/>
      <c r="L4" s="2"/>
      <c r="M4" s="2"/>
      <c r="N4" s="2"/>
      <c r="O4" s="2"/>
    </row>
    <row r="5" spans="1:8" ht="13.5" thickBot="1">
      <c r="A5" s="148" t="s">
        <v>227</v>
      </c>
      <c r="B5" s="148" t="s">
        <v>228</v>
      </c>
      <c r="C5" s="315" t="s">
        <v>253</v>
      </c>
      <c r="D5" s="148" t="s">
        <v>254</v>
      </c>
      <c r="E5" s="148" t="s">
        <v>255</v>
      </c>
      <c r="F5" s="148" t="s">
        <v>256</v>
      </c>
      <c r="G5" s="148" t="s">
        <v>257</v>
      </c>
      <c r="H5" s="364" t="s">
        <v>389</v>
      </c>
    </row>
    <row r="6" spans="1:8" ht="19.5" customHeight="1">
      <c r="A6" s="557" t="s">
        <v>190</v>
      </c>
      <c r="B6" s="598" t="s">
        <v>191</v>
      </c>
      <c r="C6" s="319" t="s">
        <v>94</v>
      </c>
      <c r="D6" s="297">
        <v>3473105</v>
      </c>
      <c r="E6" s="198">
        <v>8330044</v>
      </c>
      <c r="F6" s="297">
        <v>12320392</v>
      </c>
      <c r="G6" s="297">
        <v>5964220</v>
      </c>
      <c r="H6" s="346">
        <f>SUM(D6:G6)</f>
        <v>30087761</v>
      </c>
    </row>
    <row r="7" spans="1:8" ht="19.5" customHeight="1" thickBot="1">
      <c r="A7" s="558"/>
      <c r="B7" s="599"/>
      <c r="C7" s="321" t="s">
        <v>450</v>
      </c>
      <c r="D7" s="302">
        <v>76432312</v>
      </c>
      <c r="E7" s="302">
        <v>258062912</v>
      </c>
      <c r="F7" s="302">
        <v>395156741</v>
      </c>
      <c r="G7" s="302">
        <v>120736536</v>
      </c>
      <c r="H7" s="130">
        <f aca="true" t="shared" si="0" ref="H7:H68">SUM(D7:G7)</f>
        <v>850388501</v>
      </c>
    </row>
    <row r="8" spans="1:8" ht="19.5" customHeight="1">
      <c r="A8" s="558"/>
      <c r="B8" s="598" t="s">
        <v>192</v>
      </c>
      <c r="C8" s="319" t="s">
        <v>94</v>
      </c>
      <c r="D8" s="297">
        <v>1280321</v>
      </c>
      <c r="E8" s="198">
        <v>3890708</v>
      </c>
      <c r="F8" s="297">
        <v>6815562</v>
      </c>
      <c r="G8" s="297">
        <v>1849718</v>
      </c>
      <c r="H8" s="346">
        <f t="shared" si="0"/>
        <v>13836309</v>
      </c>
    </row>
    <row r="9" spans="1:8" s="15" customFormat="1" ht="19.5" customHeight="1" thickBot="1">
      <c r="A9" s="559"/>
      <c r="B9" s="599"/>
      <c r="C9" s="321" t="s">
        <v>450</v>
      </c>
      <c r="D9" s="302">
        <v>28326297</v>
      </c>
      <c r="E9" s="302">
        <v>122348061</v>
      </c>
      <c r="F9" s="302">
        <v>215400558</v>
      </c>
      <c r="G9" s="302">
        <v>38503409</v>
      </c>
      <c r="H9" s="130">
        <f t="shared" si="0"/>
        <v>404578325</v>
      </c>
    </row>
    <row r="10" spans="1:8" s="9" customFormat="1" ht="9">
      <c r="A10" s="568" t="s">
        <v>427</v>
      </c>
      <c r="B10" s="594" t="s">
        <v>1</v>
      </c>
      <c r="C10" s="319" t="s">
        <v>94</v>
      </c>
      <c r="D10" s="353">
        <v>1400</v>
      </c>
      <c r="E10" s="198">
        <v>10340</v>
      </c>
      <c r="F10" s="144">
        <v>28796720</v>
      </c>
      <c r="G10" s="144">
        <v>7537558</v>
      </c>
      <c r="H10" s="346">
        <f t="shared" si="0"/>
        <v>36346018</v>
      </c>
    </row>
    <row r="11" spans="1:8" s="9" customFormat="1" ht="9.75" thickBot="1">
      <c r="A11" s="569"/>
      <c r="B11" s="595"/>
      <c r="C11" s="321" t="s">
        <v>450</v>
      </c>
      <c r="D11" s="365">
        <v>10500</v>
      </c>
      <c r="E11" s="302">
        <v>77516</v>
      </c>
      <c r="F11" s="302">
        <v>44115702</v>
      </c>
      <c r="G11" s="302">
        <v>11420580</v>
      </c>
      <c r="H11" s="130">
        <f t="shared" si="0"/>
        <v>55624298</v>
      </c>
    </row>
    <row r="12" spans="1:8" s="9" customFormat="1" ht="9">
      <c r="A12" s="569"/>
      <c r="B12" s="594" t="s">
        <v>2</v>
      </c>
      <c r="C12" s="319" t="s">
        <v>94</v>
      </c>
      <c r="D12" s="353">
        <v>56516</v>
      </c>
      <c r="E12" s="198">
        <v>227345</v>
      </c>
      <c r="F12" s="144">
        <v>423725</v>
      </c>
      <c r="G12" s="144">
        <v>205323</v>
      </c>
      <c r="H12" s="346">
        <f t="shared" si="0"/>
        <v>912909</v>
      </c>
    </row>
    <row r="13" spans="1:8" s="9" customFormat="1" ht="9.75" thickBot="1">
      <c r="A13" s="569"/>
      <c r="B13" s="595"/>
      <c r="C13" s="321" t="s">
        <v>450</v>
      </c>
      <c r="D13" s="365">
        <v>4405865</v>
      </c>
      <c r="E13" s="302">
        <v>21032331</v>
      </c>
      <c r="F13" s="302">
        <v>35435820</v>
      </c>
      <c r="G13" s="302">
        <v>11207678</v>
      </c>
      <c r="H13" s="130">
        <f t="shared" si="0"/>
        <v>72081694</v>
      </c>
    </row>
    <row r="14" spans="1:8" s="9" customFormat="1" ht="9">
      <c r="A14" s="569"/>
      <c r="B14" s="594" t="s">
        <v>3</v>
      </c>
      <c r="C14" s="319" t="s">
        <v>94</v>
      </c>
      <c r="D14" s="353">
        <v>208563</v>
      </c>
      <c r="E14" s="198">
        <v>400327</v>
      </c>
      <c r="F14" s="144">
        <v>357806</v>
      </c>
      <c r="G14" s="144">
        <v>213102</v>
      </c>
      <c r="H14" s="346">
        <f t="shared" si="0"/>
        <v>1179798</v>
      </c>
    </row>
    <row r="15" spans="1:8" s="9" customFormat="1" ht="9.75" thickBot="1">
      <c r="A15" s="569"/>
      <c r="B15" s="595"/>
      <c r="C15" s="321" t="s">
        <v>450</v>
      </c>
      <c r="D15" s="365">
        <v>16809567</v>
      </c>
      <c r="E15" s="302">
        <v>39082436</v>
      </c>
      <c r="F15" s="302">
        <v>31948592</v>
      </c>
      <c r="G15" s="302">
        <v>15215754</v>
      </c>
      <c r="H15" s="130">
        <f t="shared" si="0"/>
        <v>103056349</v>
      </c>
    </row>
    <row r="16" spans="1:8" s="9" customFormat="1" ht="9">
      <c r="A16" s="569"/>
      <c r="B16" s="594" t="s">
        <v>4</v>
      </c>
      <c r="C16" s="319" t="s">
        <v>94</v>
      </c>
      <c r="D16" s="353">
        <v>12575</v>
      </c>
      <c r="E16" s="198">
        <v>30971</v>
      </c>
      <c r="F16" s="144">
        <v>85551</v>
      </c>
      <c r="G16" s="144">
        <v>27943</v>
      </c>
      <c r="H16" s="346">
        <f t="shared" si="0"/>
        <v>157040</v>
      </c>
    </row>
    <row r="17" spans="1:8" s="9" customFormat="1" ht="9.75" thickBot="1">
      <c r="A17" s="569"/>
      <c r="B17" s="595"/>
      <c r="C17" s="321" t="s">
        <v>450</v>
      </c>
      <c r="D17" s="365">
        <v>332800</v>
      </c>
      <c r="E17" s="302">
        <v>775330</v>
      </c>
      <c r="F17" s="302">
        <v>2176979</v>
      </c>
      <c r="G17" s="302">
        <v>705700</v>
      </c>
      <c r="H17" s="130">
        <f t="shared" si="0"/>
        <v>3990809</v>
      </c>
    </row>
    <row r="18" spans="1:8" s="9" customFormat="1" ht="9">
      <c r="A18" s="569"/>
      <c r="B18" s="594" t="s">
        <v>5</v>
      </c>
      <c r="C18" s="319" t="s">
        <v>94</v>
      </c>
      <c r="D18" s="353">
        <v>14199</v>
      </c>
      <c r="E18" s="198">
        <v>16566</v>
      </c>
      <c r="F18" s="144">
        <v>13747</v>
      </c>
      <c r="G18" s="144">
        <v>3970</v>
      </c>
      <c r="H18" s="346">
        <f t="shared" si="0"/>
        <v>48482</v>
      </c>
    </row>
    <row r="19" spans="1:8" s="9" customFormat="1" ht="9.75" thickBot="1">
      <c r="A19" s="569"/>
      <c r="B19" s="595"/>
      <c r="C19" s="321" t="s">
        <v>450</v>
      </c>
      <c r="D19" s="365">
        <v>1480560</v>
      </c>
      <c r="E19" s="302">
        <v>1661060</v>
      </c>
      <c r="F19" s="302">
        <v>1374715</v>
      </c>
      <c r="G19" s="302">
        <v>397396</v>
      </c>
      <c r="H19" s="130">
        <f t="shared" si="0"/>
        <v>4913731</v>
      </c>
    </row>
    <row r="20" spans="1:8" s="9" customFormat="1" ht="9">
      <c r="A20" s="569"/>
      <c r="B20" s="594" t="s">
        <v>6</v>
      </c>
      <c r="C20" s="319" t="s">
        <v>94</v>
      </c>
      <c r="D20" s="353">
        <v>518869</v>
      </c>
      <c r="E20" s="198">
        <v>326097</v>
      </c>
      <c r="F20" s="144">
        <v>195046</v>
      </c>
      <c r="G20" s="144">
        <v>595755</v>
      </c>
      <c r="H20" s="346">
        <f t="shared" si="0"/>
        <v>1635767</v>
      </c>
    </row>
    <row r="21" spans="1:8" s="9" customFormat="1" ht="9.75" thickBot="1">
      <c r="A21" s="569"/>
      <c r="B21" s="595"/>
      <c r="C21" s="321" t="s">
        <v>450</v>
      </c>
      <c r="D21" s="365">
        <v>6208591</v>
      </c>
      <c r="E21" s="302">
        <v>4378510</v>
      </c>
      <c r="F21" s="302">
        <v>3205551</v>
      </c>
      <c r="G21" s="302">
        <v>10670353</v>
      </c>
      <c r="H21" s="130">
        <f t="shared" si="0"/>
        <v>24463005</v>
      </c>
    </row>
    <row r="22" spans="1:8" s="9" customFormat="1" ht="9">
      <c r="A22" s="569"/>
      <c r="B22" s="594" t="s">
        <v>7</v>
      </c>
      <c r="C22" s="319" t="s">
        <v>94</v>
      </c>
      <c r="D22" s="353">
        <v>2500</v>
      </c>
      <c r="E22" s="198">
        <v>19330</v>
      </c>
      <c r="F22" s="198">
        <v>419670</v>
      </c>
      <c r="G22" s="198">
        <v>176500</v>
      </c>
      <c r="H22" s="346">
        <f t="shared" si="0"/>
        <v>618000</v>
      </c>
    </row>
    <row r="23" spans="1:8" s="9" customFormat="1" ht="9.75" thickBot="1">
      <c r="A23" s="569"/>
      <c r="B23" s="595"/>
      <c r="C23" s="321" t="s">
        <v>450</v>
      </c>
      <c r="D23" s="365">
        <v>28750</v>
      </c>
      <c r="E23" s="302">
        <v>222295</v>
      </c>
      <c r="F23" s="302">
        <v>5012323</v>
      </c>
      <c r="G23" s="302">
        <v>2135525</v>
      </c>
      <c r="H23" s="130">
        <f t="shared" si="0"/>
        <v>7398893</v>
      </c>
    </row>
    <row r="24" spans="1:8" s="9" customFormat="1" ht="9">
      <c r="A24" s="569"/>
      <c r="B24" s="594" t="s">
        <v>8</v>
      </c>
      <c r="C24" s="319" t="s">
        <v>94</v>
      </c>
      <c r="D24" s="353">
        <v>5500</v>
      </c>
      <c r="E24" s="198">
        <v>41460</v>
      </c>
      <c r="F24" s="144">
        <v>41375</v>
      </c>
      <c r="G24" s="144">
        <v>77122</v>
      </c>
      <c r="H24" s="346">
        <f t="shared" si="0"/>
        <v>165457</v>
      </c>
    </row>
    <row r="25" spans="1:8" s="9" customFormat="1" ht="9.75" thickBot="1">
      <c r="A25" s="569"/>
      <c r="B25" s="595"/>
      <c r="C25" s="321" t="s">
        <v>450</v>
      </c>
      <c r="D25" s="365">
        <v>136675</v>
      </c>
      <c r="E25" s="302">
        <v>1044500</v>
      </c>
      <c r="F25" s="302">
        <v>1045665</v>
      </c>
      <c r="G25" s="302">
        <v>1969028</v>
      </c>
      <c r="H25" s="130">
        <f t="shared" si="0"/>
        <v>4195868</v>
      </c>
    </row>
    <row r="26" spans="1:8" s="9" customFormat="1" ht="9">
      <c r="A26" s="569"/>
      <c r="B26" s="594" t="s">
        <v>9</v>
      </c>
      <c r="C26" s="319" t="s">
        <v>94</v>
      </c>
      <c r="D26" s="353">
        <v>20000</v>
      </c>
      <c r="E26" s="198">
        <v>47500</v>
      </c>
      <c r="F26" s="144">
        <v>17900</v>
      </c>
      <c r="G26" s="144">
        <v>10800</v>
      </c>
      <c r="H26" s="346">
        <f t="shared" si="0"/>
        <v>96200</v>
      </c>
    </row>
    <row r="27" spans="1:8" s="9" customFormat="1" ht="9.75" thickBot="1">
      <c r="A27" s="569"/>
      <c r="B27" s="597"/>
      <c r="C27" s="321" t="s">
        <v>450</v>
      </c>
      <c r="D27" s="365">
        <v>500200</v>
      </c>
      <c r="E27" s="302">
        <v>1188700</v>
      </c>
      <c r="F27" s="302">
        <v>452870</v>
      </c>
      <c r="G27" s="302">
        <v>272700</v>
      </c>
      <c r="H27" s="130">
        <f t="shared" si="0"/>
        <v>2414470</v>
      </c>
    </row>
    <row r="28" spans="1:8" s="9" customFormat="1" ht="9">
      <c r="A28" s="569"/>
      <c r="B28" s="594" t="s">
        <v>10</v>
      </c>
      <c r="C28" s="319" t="s">
        <v>94</v>
      </c>
      <c r="D28" s="353">
        <v>2106649</v>
      </c>
      <c r="E28" s="198">
        <v>4039682</v>
      </c>
      <c r="F28" s="144">
        <v>1351833</v>
      </c>
      <c r="G28" s="144">
        <v>2466724</v>
      </c>
      <c r="H28" s="346">
        <f t="shared" si="0"/>
        <v>9964888</v>
      </c>
    </row>
    <row r="29" spans="1:8" s="9" customFormat="1" ht="9.75" thickBot="1">
      <c r="A29" s="569"/>
      <c r="B29" s="595"/>
      <c r="C29" s="321" t="s">
        <v>450</v>
      </c>
      <c r="D29" s="366">
        <v>4703409</v>
      </c>
      <c r="E29" s="367">
        <v>10925903</v>
      </c>
      <c r="F29" s="367">
        <v>3450905</v>
      </c>
      <c r="G29" s="367">
        <v>4521056</v>
      </c>
      <c r="H29" s="368">
        <f t="shared" si="0"/>
        <v>23601273</v>
      </c>
    </row>
    <row r="30" spans="1:8" s="9" customFormat="1" ht="9">
      <c r="A30" s="569"/>
      <c r="B30" s="594" t="s">
        <v>11</v>
      </c>
      <c r="C30" s="319" t="s">
        <v>94</v>
      </c>
      <c r="D30" s="353">
        <v>1660</v>
      </c>
      <c r="E30" s="198">
        <v>12631</v>
      </c>
      <c r="F30" s="144">
        <v>11277</v>
      </c>
      <c r="G30" s="144">
        <v>600</v>
      </c>
      <c r="H30" s="346">
        <f t="shared" si="0"/>
        <v>26168</v>
      </c>
    </row>
    <row r="31" spans="1:8" s="9" customFormat="1" ht="9.75" thickBot="1">
      <c r="A31" s="569"/>
      <c r="B31" s="595"/>
      <c r="C31" s="321" t="s">
        <v>450</v>
      </c>
      <c r="D31" s="365">
        <v>172492</v>
      </c>
      <c r="E31" s="302">
        <v>1287237</v>
      </c>
      <c r="F31" s="302">
        <v>1149088</v>
      </c>
      <c r="G31" s="302">
        <v>62250</v>
      </c>
      <c r="H31" s="130">
        <f t="shared" si="0"/>
        <v>2671067</v>
      </c>
    </row>
    <row r="32" spans="1:8" s="9" customFormat="1" ht="9">
      <c r="A32" s="569"/>
      <c r="B32" s="594" t="s">
        <v>296</v>
      </c>
      <c r="C32" s="319" t="s">
        <v>94</v>
      </c>
      <c r="D32" s="353">
        <v>0</v>
      </c>
      <c r="E32" s="198">
        <v>0</v>
      </c>
      <c r="F32" s="144">
        <v>0</v>
      </c>
      <c r="G32" s="144">
        <v>6350</v>
      </c>
      <c r="H32" s="346">
        <f t="shared" si="0"/>
        <v>6350</v>
      </c>
    </row>
    <row r="33" spans="1:8" s="9" customFormat="1" ht="9.75" thickBot="1">
      <c r="A33" s="569"/>
      <c r="B33" s="595"/>
      <c r="C33" s="321" t="s">
        <v>450</v>
      </c>
      <c r="D33" s="365">
        <v>0</v>
      </c>
      <c r="E33" s="302">
        <v>0</v>
      </c>
      <c r="F33" s="302">
        <v>0</v>
      </c>
      <c r="G33" s="302">
        <v>631015</v>
      </c>
      <c r="H33" s="130">
        <f t="shared" si="0"/>
        <v>631015</v>
      </c>
    </row>
    <row r="34" spans="1:8" s="9" customFormat="1" ht="9">
      <c r="A34" s="569"/>
      <c r="B34" s="594" t="s">
        <v>12</v>
      </c>
      <c r="C34" s="319" t="s">
        <v>94</v>
      </c>
      <c r="D34" s="353">
        <v>983665</v>
      </c>
      <c r="E34" s="198">
        <v>2571833</v>
      </c>
      <c r="F34" s="144">
        <v>712027</v>
      </c>
      <c r="G34" s="144">
        <v>1492852</v>
      </c>
      <c r="H34" s="346">
        <f t="shared" si="0"/>
        <v>5760377</v>
      </c>
    </row>
    <row r="35" spans="1:8" s="9" customFormat="1" ht="9.75" thickBot="1">
      <c r="A35" s="569"/>
      <c r="B35" s="595"/>
      <c r="C35" s="321" t="s">
        <v>450</v>
      </c>
      <c r="D35" s="365">
        <v>2219762</v>
      </c>
      <c r="E35" s="302">
        <v>7119830</v>
      </c>
      <c r="F35" s="302">
        <v>1860666</v>
      </c>
      <c r="G35" s="302">
        <v>2901502</v>
      </c>
      <c r="H35" s="130">
        <f t="shared" si="0"/>
        <v>14101760</v>
      </c>
    </row>
    <row r="36" spans="1:8" s="9" customFormat="1" ht="9">
      <c r="A36" s="569"/>
      <c r="B36" s="594" t="s">
        <v>13</v>
      </c>
      <c r="C36" s="319" t="s">
        <v>94</v>
      </c>
      <c r="D36" s="353">
        <v>30364</v>
      </c>
      <c r="E36" s="198">
        <v>21010</v>
      </c>
      <c r="F36" s="144">
        <v>357431</v>
      </c>
      <c r="G36" s="144">
        <v>19952</v>
      </c>
      <c r="H36" s="346">
        <f t="shared" si="0"/>
        <v>428757</v>
      </c>
    </row>
    <row r="37" spans="1:8" s="9" customFormat="1" ht="9.75" thickBot="1">
      <c r="A37" s="569"/>
      <c r="B37" s="595"/>
      <c r="C37" s="321" t="s">
        <v>450</v>
      </c>
      <c r="D37" s="365">
        <v>123124</v>
      </c>
      <c r="E37" s="302">
        <v>88543</v>
      </c>
      <c r="F37" s="302">
        <v>1696122</v>
      </c>
      <c r="G37" s="302">
        <v>94964</v>
      </c>
      <c r="H37" s="130">
        <f t="shared" si="0"/>
        <v>2002753</v>
      </c>
    </row>
    <row r="38" spans="1:8" s="9" customFormat="1" ht="9">
      <c r="A38" s="569"/>
      <c r="B38" s="594" t="s">
        <v>14</v>
      </c>
      <c r="C38" s="319" t="s">
        <v>94</v>
      </c>
      <c r="D38" s="353">
        <v>27700</v>
      </c>
      <c r="E38" s="198">
        <v>2850</v>
      </c>
      <c r="F38" s="144">
        <v>2500</v>
      </c>
      <c r="G38" s="144">
        <v>0</v>
      </c>
      <c r="H38" s="346">
        <f t="shared" si="0"/>
        <v>33050</v>
      </c>
    </row>
    <row r="39" spans="1:8" s="9" customFormat="1" ht="9.75" thickBot="1">
      <c r="A39" s="569"/>
      <c r="B39" s="595"/>
      <c r="C39" s="321" t="s">
        <v>450</v>
      </c>
      <c r="D39" s="365">
        <v>2812900</v>
      </c>
      <c r="E39" s="302">
        <v>286700</v>
      </c>
      <c r="F39" s="302">
        <v>250000</v>
      </c>
      <c r="G39" s="302">
        <v>0</v>
      </c>
      <c r="H39" s="130">
        <f t="shared" si="0"/>
        <v>3349600</v>
      </c>
    </row>
    <row r="40" spans="1:8" s="9" customFormat="1" ht="9">
      <c r="A40" s="569"/>
      <c r="B40" s="594" t="s">
        <v>15</v>
      </c>
      <c r="C40" s="319" t="s">
        <v>94</v>
      </c>
      <c r="D40" s="353">
        <v>137311</v>
      </c>
      <c r="E40" s="198">
        <v>370751</v>
      </c>
      <c r="F40" s="144">
        <v>226321</v>
      </c>
      <c r="G40" s="144">
        <v>149851</v>
      </c>
      <c r="H40" s="346">
        <f t="shared" si="0"/>
        <v>884234</v>
      </c>
    </row>
    <row r="41" spans="1:8" s="9" customFormat="1" ht="9.75" thickBot="1">
      <c r="A41" s="569"/>
      <c r="B41" s="595"/>
      <c r="C41" s="321" t="s">
        <v>450</v>
      </c>
      <c r="D41" s="365">
        <v>12224279</v>
      </c>
      <c r="E41" s="302">
        <v>37253655</v>
      </c>
      <c r="F41" s="302">
        <v>22642722</v>
      </c>
      <c r="G41" s="302">
        <v>11561052</v>
      </c>
      <c r="H41" s="130">
        <f t="shared" si="0"/>
        <v>83681708</v>
      </c>
    </row>
    <row r="42" spans="1:8" s="9" customFormat="1" ht="9.75" thickBot="1">
      <c r="A42" s="569"/>
      <c r="B42" s="594" t="s">
        <v>16</v>
      </c>
      <c r="C42" s="319" t="s">
        <v>94</v>
      </c>
      <c r="D42" s="353">
        <v>86108</v>
      </c>
      <c r="E42" s="198">
        <v>47668</v>
      </c>
      <c r="F42" s="144">
        <v>78605</v>
      </c>
      <c r="G42" s="144">
        <v>55634</v>
      </c>
      <c r="H42" s="346">
        <f t="shared" si="0"/>
        <v>268015</v>
      </c>
    </row>
    <row r="43" spans="1:8" s="9" customFormat="1" ht="9.75" thickBot="1">
      <c r="A43" s="569"/>
      <c r="B43" s="595"/>
      <c r="C43" s="321" t="s">
        <v>450</v>
      </c>
      <c r="D43" s="369">
        <v>6979248</v>
      </c>
      <c r="E43" s="297">
        <v>3996348</v>
      </c>
      <c r="F43" s="297">
        <v>7451685</v>
      </c>
      <c r="G43" s="297">
        <v>4596596</v>
      </c>
      <c r="H43" s="346">
        <f t="shared" si="0"/>
        <v>23023877</v>
      </c>
    </row>
    <row r="44" spans="1:8" s="9" customFormat="1" ht="9">
      <c r="A44" s="569"/>
      <c r="B44" s="594" t="s">
        <v>17</v>
      </c>
      <c r="C44" s="319" t="s">
        <v>94</v>
      </c>
      <c r="D44" s="370">
        <v>1200</v>
      </c>
      <c r="E44" s="203">
        <v>0</v>
      </c>
      <c r="F44" s="105">
        <v>0</v>
      </c>
      <c r="G44" s="105">
        <v>0</v>
      </c>
      <c r="H44" s="129">
        <f t="shared" si="0"/>
        <v>1200</v>
      </c>
    </row>
    <row r="45" spans="1:8" s="9" customFormat="1" ht="9.75" thickBot="1">
      <c r="A45" s="569"/>
      <c r="B45" s="595"/>
      <c r="C45" s="321" t="s">
        <v>450</v>
      </c>
      <c r="D45" s="365">
        <v>122400</v>
      </c>
      <c r="E45" s="302">
        <v>0</v>
      </c>
      <c r="F45" s="302">
        <v>0</v>
      </c>
      <c r="G45" s="302">
        <v>0</v>
      </c>
      <c r="H45" s="130">
        <f t="shared" si="0"/>
        <v>122400</v>
      </c>
    </row>
    <row r="46" spans="1:8" s="9" customFormat="1" ht="9">
      <c r="A46" s="569"/>
      <c r="B46" s="594" t="s">
        <v>18</v>
      </c>
      <c r="C46" s="319" t="s">
        <v>94</v>
      </c>
      <c r="D46" s="353">
        <v>16335</v>
      </c>
      <c r="E46" s="198">
        <v>22429</v>
      </c>
      <c r="F46" s="144">
        <v>19670</v>
      </c>
      <c r="G46" s="144">
        <v>53</v>
      </c>
      <c r="H46" s="346">
        <f t="shared" si="0"/>
        <v>58487</v>
      </c>
    </row>
    <row r="47" spans="1:8" s="9" customFormat="1" ht="9.75" thickBot="1">
      <c r="A47" s="569"/>
      <c r="B47" s="595"/>
      <c r="C47" s="321" t="s">
        <v>450</v>
      </c>
      <c r="D47" s="365">
        <v>1653102</v>
      </c>
      <c r="E47" s="302">
        <v>2273329</v>
      </c>
      <c r="F47" s="302">
        <v>1984999</v>
      </c>
      <c r="G47" s="302">
        <v>5353</v>
      </c>
      <c r="H47" s="130">
        <f t="shared" si="0"/>
        <v>5916783</v>
      </c>
    </row>
    <row r="48" spans="1:8" s="9" customFormat="1" ht="9">
      <c r="A48" s="569"/>
      <c r="B48" s="594" t="s">
        <v>19</v>
      </c>
      <c r="C48" s="319" t="s">
        <v>94</v>
      </c>
      <c r="D48" s="353">
        <v>0</v>
      </c>
      <c r="E48" s="198">
        <v>3124</v>
      </c>
      <c r="F48" s="144">
        <v>20021</v>
      </c>
      <c r="G48" s="144">
        <v>208</v>
      </c>
      <c r="H48" s="346">
        <f t="shared" si="0"/>
        <v>23353</v>
      </c>
    </row>
    <row r="49" spans="1:8" s="9" customFormat="1" ht="9.75" thickBot="1">
      <c r="A49" s="570"/>
      <c r="B49" s="595"/>
      <c r="C49" s="321" t="s">
        <v>450</v>
      </c>
      <c r="D49" s="365">
        <v>0</v>
      </c>
      <c r="E49" s="302">
        <v>316150</v>
      </c>
      <c r="F49" s="302">
        <v>2034248</v>
      </c>
      <c r="G49" s="302">
        <v>21154</v>
      </c>
      <c r="H49" s="130">
        <f t="shared" si="0"/>
        <v>2371552</v>
      </c>
    </row>
    <row r="50" spans="1:8" s="9" customFormat="1" ht="9">
      <c r="A50" s="557" t="s">
        <v>195</v>
      </c>
      <c r="B50" s="594" t="s">
        <v>20</v>
      </c>
      <c r="C50" s="319" t="s">
        <v>94</v>
      </c>
      <c r="D50" s="353">
        <v>4000</v>
      </c>
      <c r="E50" s="198">
        <v>734298</v>
      </c>
      <c r="F50" s="144">
        <v>938015</v>
      </c>
      <c r="G50" s="144">
        <v>513487</v>
      </c>
      <c r="H50" s="346">
        <f t="shared" si="0"/>
        <v>2189800</v>
      </c>
    </row>
    <row r="51" spans="1:8" s="9" customFormat="1" ht="9.75" thickBot="1">
      <c r="A51" s="558"/>
      <c r="B51" s="595"/>
      <c r="C51" s="321" t="s">
        <v>450</v>
      </c>
      <c r="D51" s="365">
        <v>6000</v>
      </c>
      <c r="E51" s="302">
        <v>1211592</v>
      </c>
      <c r="F51" s="302">
        <v>1637360</v>
      </c>
      <c r="G51" s="302">
        <v>1048904</v>
      </c>
      <c r="H51" s="130">
        <f t="shared" si="0"/>
        <v>3903856</v>
      </c>
    </row>
    <row r="52" spans="1:8" s="9" customFormat="1" ht="9">
      <c r="A52" s="558"/>
      <c r="B52" s="594" t="s">
        <v>288</v>
      </c>
      <c r="C52" s="319" t="s">
        <v>94</v>
      </c>
      <c r="D52" s="353">
        <v>64609</v>
      </c>
      <c r="E52" s="198">
        <v>147682</v>
      </c>
      <c r="F52" s="144">
        <v>31970</v>
      </c>
      <c r="G52" s="144">
        <v>31524</v>
      </c>
      <c r="H52" s="346">
        <f t="shared" si="0"/>
        <v>275785</v>
      </c>
    </row>
    <row r="53" spans="1:8" s="9" customFormat="1" ht="9.75" thickBot="1">
      <c r="A53" s="558"/>
      <c r="B53" s="595"/>
      <c r="C53" s="321" t="s">
        <v>450</v>
      </c>
      <c r="D53" s="365">
        <v>1278273</v>
      </c>
      <c r="E53" s="302">
        <v>3124299</v>
      </c>
      <c r="F53" s="302">
        <v>661753</v>
      </c>
      <c r="G53" s="302">
        <v>482525</v>
      </c>
      <c r="H53" s="130">
        <f t="shared" si="0"/>
        <v>5546850</v>
      </c>
    </row>
    <row r="54" spans="1:8" s="9" customFormat="1" ht="9">
      <c r="A54" s="558"/>
      <c r="B54" s="594" t="s">
        <v>196</v>
      </c>
      <c r="C54" s="319" t="s">
        <v>94</v>
      </c>
      <c r="D54" s="353">
        <v>3000</v>
      </c>
      <c r="E54" s="198">
        <v>144900</v>
      </c>
      <c r="F54" s="144">
        <v>3500</v>
      </c>
      <c r="G54" s="144">
        <v>54428</v>
      </c>
      <c r="H54" s="346">
        <f t="shared" si="0"/>
        <v>205828</v>
      </c>
    </row>
    <row r="55" spans="1:8" s="9" customFormat="1" ht="9.75" thickBot="1">
      <c r="A55" s="558"/>
      <c r="B55" s="595"/>
      <c r="C55" s="321" t="s">
        <v>450</v>
      </c>
      <c r="D55" s="365">
        <v>5700</v>
      </c>
      <c r="E55" s="302">
        <v>279570</v>
      </c>
      <c r="F55" s="302">
        <v>7400</v>
      </c>
      <c r="G55" s="302">
        <v>110196</v>
      </c>
      <c r="H55" s="130">
        <f t="shared" si="0"/>
        <v>402866</v>
      </c>
    </row>
    <row r="56" spans="1:8" s="9" customFormat="1" ht="9">
      <c r="A56" s="558"/>
      <c r="B56" s="594" t="s">
        <v>197</v>
      </c>
      <c r="C56" s="319" t="s">
        <v>94</v>
      </c>
      <c r="D56" s="353">
        <v>0</v>
      </c>
      <c r="E56" s="198">
        <v>5000</v>
      </c>
      <c r="F56" s="198">
        <v>0</v>
      </c>
      <c r="G56" s="198">
        <v>0</v>
      </c>
      <c r="H56" s="346">
        <f t="shared" si="0"/>
        <v>5000</v>
      </c>
    </row>
    <row r="57" spans="1:8" s="9" customFormat="1" ht="9.75" thickBot="1">
      <c r="A57" s="558"/>
      <c r="B57" s="597"/>
      <c r="C57" s="321" t="s">
        <v>450</v>
      </c>
      <c r="D57" s="365">
        <v>0</v>
      </c>
      <c r="E57" s="302">
        <v>9500</v>
      </c>
      <c r="F57" s="302">
        <v>0</v>
      </c>
      <c r="G57" s="302">
        <v>0</v>
      </c>
      <c r="H57" s="130">
        <f t="shared" si="0"/>
        <v>9500</v>
      </c>
    </row>
    <row r="58" spans="1:8" s="9" customFormat="1" ht="9">
      <c r="A58" s="558"/>
      <c r="B58" s="594" t="s">
        <v>198</v>
      </c>
      <c r="C58" s="319" t="s">
        <v>94</v>
      </c>
      <c r="D58" s="353">
        <v>0</v>
      </c>
      <c r="E58" s="198">
        <v>0</v>
      </c>
      <c r="F58" s="198">
        <v>0</v>
      </c>
      <c r="G58" s="198">
        <v>234000</v>
      </c>
      <c r="H58" s="346">
        <f t="shared" si="0"/>
        <v>234000</v>
      </c>
    </row>
    <row r="59" spans="1:8" s="9" customFormat="1" ht="9.75" thickBot="1">
      <c r="A59" s="558"/>
      <c r="B59" s="595"/>
      <c r="C59" s="321" t="s">
        <v>450</v>
      </c>
      <c r="D59" s="365">
        <v>0</v>
      </c>
      <c r="E59" s="302">
        <v>0</v>
      </c>
      <c r="F59" s="302">
        <v>0</v>
      </c>
      <c r="G59" s="302">
        <v>25740</v>
      </c>
      <c r="H59" s="130">
        <f t="shared" si="0"/>
        <v>25740</v>
      </c>
    </row>
    <row r="60" spans="1:8" s="9" customFormat="1" ht="9">
      <c r="A60" s="558"/>
      <c r="B60" s="594" t="s">
        <v>210</v>
      </c>
      <c r="C60" s="319" t="s">
        <v>94</v>
      </c>
      <c r="D60" s="353">
        <v>0</v>
      </c>
      <c r="E60" s="198">
        <v>0</v>
      </c>
      <c r="F60" s="198">
        <v>0</v>
      </c>
      <c r="G60" s="198">
        <v>0</v>
      </c>
      <c r="H60" s="346">
        <f t="shared" si="0"/>
        <v>0</v>
      </c>
    </row>
    <row r="61" spans="1:8" s="9" customFormat="1" ht="9.75" thickBot="1">
      <c r="A61" s="559"/>
      <c r="B61" s="595"/>
      <c r="C61" s="321" t="s">
        <v>450</v>
      </c>
      <c r="D61" s="365">
        <v>0</v>
      </c>
      <c r="E61" s="302">
        <v>0</v>
      </c>
      <c r="F61" s="302">
        <v>0</v>
      </c>
      <c r="G61" s="302">
        <v>0</v>
      </c>
      <c r="H61" s="130">
        <f t="shared" si="0"/>
        <v>0</v>
      </c>
    </row>
    <row r="62" spans="1:8" s="9" customFormat="1" ht="9">
      <c r="A62" s="557" t="s">
        <v>200</v>
      </c>
      <c r="B62" s="594" t="s">
        <v>289</v>
      </c>
      <c r="C62" s="319" t="s">
        <v>94</v>
      </c>
      <c r="D62" s="353">
        <v>6112</v>
      </c>
      <c r="E62" s="198">
        <v>458</v>
      </c>
      <c r="F62" s="144">
        <v>500</v>
      </c>
      <c r="G62" s="144">
        <v>0</v>
      </c>
      <c r="H62" s="346">
        <f t="shared" si="0"/>
        <v>7070</v>
      </c>
    </row>
    <row r="63" spans="1:8" s="9" customFormat="1" ht="9.75" thickBot="1">
      <c r="A63" s="558"/>
      <c r="B63" s="595"/>
      <c r="C63" s="321" t="s">
        <v>450</v>
      </c>
      <c r="D63" s="365">
        <v>623291</v>
      </c>
      <c r="E63" s="302">
        <v>47200</v>
      </c>
      <c r="F63" s="302">
        <v>52750</v>
      </c>
      <c r="G63" s="302">
        <v>0</v>
      </c>
      <c r="H63" s="130">
        <f t="shared" si="0"/>
        <v>723241</v>
      </c>
    </row>
    <row r="64" spans="1:8" s="9" customFormat="1" ht="9">
      <c r="A64" s="558"/>
      <c r="B64" s="594" t="s">
        <v>292</v>
      </c>
      <c r="C64" s="319" t="s">
        <v>94</v>
      </c>
      <c r="D64" s="353">
        <v>19728</v>
      </c>
      <c r="E64" s="198">
        <v>3890</v>
      </c>
      <c r="F64" s="144">
        <v>5820</v>
      </c>
      <c r="G64" s="144">
        <v>250</v>
      </c>
      <c r="H64" s="346">
        <f t="shared" si="0"/>
        <v>29688</v>
      </c>
    </row>
    <row r="65" spans="1:8" s="9" customFormat="1" ht="9.75" thickBot="1">
      <c r="A65" s="558"/>
      <c r="B65" s="595"/>
      <c r="C65" s="321" t="s">
        <v>450</v>
      </c>
      <c r="D65" s="365">
        <v>1981377</v>
      </c>
      <c r="E65" s="302">
        <v>398021</v>
      </c>
      <c r="F65" s="302">
        <v>596690</v>
      </c>
      <c r="G65" s="302">
        <v>25050</v>
      </c>
      <c r="H65" s="130">
        <f t="shared" si="0"/>
        <v>3001138</v>
      </c>
    </row>
    <row r="66" spans="1:8" s="9" customFormat="1" ht="9">
      <c r="A66" s="558"/>
      <c r="B66" s="594" t="s">
        <v>290</v>
      </c>
      <c r="C66" s="319" t="s">
        <v>94</v>
      </c>
      <c r="D66" s="353">
        <v>2002</v>
      </c>
      <c r="E66" s="198">
        <v>288</v>
      </c>
      <c r="F66" s="198">
        <v>9722</v>
      </c>
      <c r="G66" s="198">
        <v>10</v>
      </c>
      <c r="H66" s="346">
        <f t="shared" si="0"/>
        <v>12022</v>
      </c>
    </row>
    <row r="67" spans="1:8" s="9" customFormat="1" ht="9.75" thickBot="1">
      <c r="A67" s="558"/>
      <c r="B67" s="595"/>
      <c r="C67" s="321" t="s">
        <v>450</v>
      </c>
      <c r="D67" s="365">
        <f>204023400/1507.5</f>
        <v>135338.9054726368</v>
      </c>
      <c r="E67" s="302">
        <f>29934400/1507.5</f>
        <v>19856.98175787728</v>
      </c>
      <c r="F67" s="302">
        <f>1004366200/1507.5</f>
        <v>666246.2354892206</v>
      </c>
      <c r="G67" s="302">
        <f>1053000/1507.5</f>
        <v>698.5074626865671</v>
      </c>
      <c r="H67" s="130">
        <f t="shared" si="0"/>
        <v>822140.6301824212</v>
      </c>
    </row>
    <row r="68" spans="1:8" s="9" customFormat="1" ht="9">
      <c r="A68" s="558"/>
      <c r="B68" s="594" t="s">
        <v>291</v>
      </c>
      <c r="C68" s="319" t="s">
        <v>94</v>
      </c>
      <c r="D68" s="353">
        <v>14015</v>
      </c>
      <c r="E68" s="198">
        <v>2253</v>
      </c>
      <c r="F68" s="198">
        <v>2264</v>
      </c>
      <c r="G68" s="198">
        <v>1503</v>
      </c>
      <c r="H68" s="346">
        <f t="shared" si="0"/>
        <v>20035</v>
      </c>
    </row>
    <row r="69" spans="1:8" s="9" customFormat="1" ht="9.75" thickBot="1">
      <c r="A69" s="559"/>
      <c r="B69" s="595"/>
      <c r="C69" s="321" t="s">
        <v>450</v>
      </c>
      <c r="D69" s="365">
        <f>1459675500/1507.5</f>
        <v>968275.6218905472</v>
      </c>
      <c r="E69" s="302">
        <f>237302400/1507.5</f>
        <v>157414.52736318408</v>
      </c>
      <c r="F69" s="302">
        <f>245705000/1507.5</f>
        <v>162988.39137645107</v>
      </c>
      <c r="G69" s="302">
        <f>167575500/1507.5</f>
        <v>111161.19402985074</v>
      </c>
      <c r="H69" s="130">
        <f>SUM(D69:G69)</f>
        <v>1399839.7346600331</v>
      </c>
    </row>
    <row r="70" spans="1:8" ht="13.5" thickBot="1">
      <c r="A70" s="510" t="s">
        <v>258</v>
      </c>
      <c r="B70" s="604"/>
      <c r="C70" s="374" t="s">
        <v>94</v>
      </c>
      <c r="D70" s="360">
        <f>D6+D8+D10+D12+D14+D16+D18+D20+D22+D24+D26+D28+D30+D32+D34+D36+D38+D40+D42+D44+D46+D48+D50+D52+D54+D56+D58+D60+D62+D64+D66+D68</f>
        <v>9098006</v>
      </c>
      <c r="E70" s="361">
        <f aca="true" t="shared" si="1" ref="E70:H71">E6+E8+E10+E12+E14+E16+E18+E20+E22+E24+E26+E28+E30+E32+E34+E36+E38+E40+E42+E44+E46+E48+E50+E52+E54+E56+E58+E60+E62+E64+E66+E68</f>
        <v>21471435</v>
      </c>
      <c r="F70" s="361">
        <f t="shared" si="1"/>
        <v>53258970</v>
      </c>
      <c r="G70" s="361">
        <f t="shared" si="1"/>
        <v>21689437</v>
      </c>
      <c r="H70" s="132">
        <f>SUM(D70:G70)</f>
        <v>105517848</v>
      </c>
    </row>
    <row r="71" spans="1:8" ht="13.5" thickBot="1">
      <c r="A71" s="510" t="s">
        <v>259</v>
      </c>
      <c r="B71" s="604"/>
      <c r="C71" s="375" t="s">
        <v>450</v>
      </c>
      <c r="D71" s="372">
        <f>D7+D9+D11+D13+D15+D17+D19+D21+D23+D25+D27+D29+D31+D33+D35+D37+D39+D41+D43+D45+D47+D49+D51+D53+D55+D57+D59+D61+D63+D65+D67+D69</f>
        <v>170681088.52736318</v>
      </c>
      <c r="E71" s="132">
        <f t="shared" si="1"/>
        <v>518668799.50912106</v>
      </c>
      <c r="F71" s="132">
        <f t="shared" si="1"/>
        <v>781631138.6268657</v>
      </c>
      <c r="G71" s="132">
        <f t="shared" si="1"/>
        <v>239433875.70149252</v>
      </c>
      <c r="H71" s="132">
        <f t="shared" si="1"/>
        <v>1710414902.3648427</v>
      </c>
    </row>
  </sheetData>
  <sheetProtection/>
  <mergeCells count="40">
    <mergeCell ref="A6:A9"/>
    <mergeCell ref="B6:B7"/>
    <mergeCell ref="B8:B9"/>
    <mergeCell ref="C4:H4"/>
    <mergeCell ref="B20:B21"/>
    <mergeCell ref="B22:B23"/>
    <mergeCell ref="A10:A49"/>
    <mergeCell ref="B10:B11"/>
    <mergeCell ref="B24:B25"/>
    <mergeCell ref="B26:B27"/>
    <mergeCell ref="B12:B13"/>
    <mergeCell ref="B14:B15"/>
    <mergeCell ref="B16:B17"/>
    <mergeCell ref="B18:B19"/>
    <mergeCell ref="B28:B29"/>
    <mergeCell ref="B30:B31"/>
    <mergeCell ref="B32:B33"/>
    <mergeCell ref="B34:B35"/>
    <mergeCell ref="B36:B37"/>
    <mergeCell ref="B38:B39"/>
    <mergeCell ref="B40:B41"/>
    <mergeCell ref="B44:B45"/>
    <mergeCell ref="B46:B47"/>
    <mergeCell ref="B48:B49"/>
    <mergeCell ref="A50:A61"/>
    <mergeCell ref="B50:B51"/>
    <mergeCell ref="B52:B53"/>
    <mergeCell ref="B54:B55"/>
    <mergeCell ref="B56:B57"/>
    <mergeCell ref="B58:B59"/>
    <mergeCell ref="A70:B70"/>
    <mergeCell ref="A71:B71"/>
    <mergeCell ref="A1:H1"/>
    <mergeCell ref="B60:B61"/>
    <mergeCell ref="A62:A69"/>
    <mergeCell ref="B62:B63"/>
    <mergeCell ref="B64:B65"/>
    <mergeCell ref="B66:B67"/>
    <mergeCell ref="B68:B69"/>
    <mergeCell ref="B42:B43"/>
  </mergeCells>
  <printOptions horizontalCentered="1"/>
  <pageMargins left="0" right="0" top="0.5" bottom="0.5" header="0" footer="0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W80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7.421875" style="21" customWidth="1"/>
    <col min="2" max="2" width="22.421875" style="56" customWidth="1"/>
    <col min="3" max="3" width="7.7109375" style="13" bestFit="1" customWidth="1"/>
    <col min="4" max="4" width="8.140625" style="2" bestFit="1" customWidth="1"/>
    <col min="5" max="5" width="7.8515625" style="2" bestFit="1" customWidth="1"/>
    <col min="6" max="10" width="8.140625" style="2" bestFit="1" customWidth="1"/>
    <col min="11" max="11" width="7.57421875" style="2" bestFit="1" customWidth="1"/>
    <col min="12" max="12" width="9.00390625" style="2" bestFit="1" customWidth="1"/>
    <col min="13" max="13" width="7.57421875" style="2" bestFit="1" customWidth="1"/>
    <col min="14" max="14" width="7.8515625" style="2" bestFit="1" customWidth="1"/>
    <col min="15" max="15" width="7.8515625" style="5" bestFit="1" customWidth="1"/>
    <col min="16" max="16" width="8.7109375" style="16" bestFit="1" customWidth="1"/>
    <col min="17" max="16384" width="9.140625" style="5" customWidth="1"/>
  </cols>
  <sheetData>
    <row r="1" spans="1:23" ht="19.5" customHeight="1">
      <c r="A1" s="514" t="s">
        <v>260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36"/>
      <c r="Q1" s="36"/>
      <c r="R1" s="36"/>
      <c r="S1" s="36"/>
      <c r="T1" s="36"/>
      <c r="U1" s="36"/>
      <c r="V1" s="36"/>
      <c r="W1" s="36"/>
    </row>
    <row r="2" spans="1:23" ht="12.75">
      <c r="A2" s="14" t="s">
        <v>189</v>
      </c>
      <c r="M2" s="21"/>
      <c r="N2" s="13"/>
      <c r="O2" s="13"/>
      <c r="P2" s="35"/>
      <c r="Q2" s="2"/>
      <c r="R2" s="2"/>
      <c r="S2" s="2"/>
      <c r="T2" s="2"/>
      <c r="U2" s="2"/>
      <c r="V2" s="2"/>
      <c r="W2" s="2"/>
    </row>
    <row r="3" spans="1:23" ht="6.75" customHeight="1" thickBot="1">
      <c r="A3" s="14"/>
      <c r="M3" s="21"/>
      <c r="N3" s="13"/>
      <c r="O3" s="13"/>
      <c r="P3" s="35"/>
      <c r="Q3" s="2"/>
      <c r="R3" s="2"/>
      <c r="S3" s="2"/>
      <c r="T3" s="2"/>
      <c r="U3" s="2"/>
      <c r="V3" s="2"/>
      <c r="W3" s="2"/>
    </row>
    <row r="4" spans="1:23" ht="13.5" thickBot="1">
      <c r="A4" s="14"/>
      <c r="D4" s="458">
        <v>2008</v>
      </c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2"/>
      <c r="R4" s="2"/>
      <c r="S4" s="2"/>
      <c r="T4" s="2"/>
      <c r="U4" s="2"/>
      <c r="V4" s="2"/>
      <c r="W4" s="2"/>
    </row>
    <row r="5" spans="1:16" ht="48" thickBot="1">
      <c r="A5" s="148" t="s">
        <v>227</v>
      </c>
      <c r="B5" s="148" t="s">
        <v>228</v>
      </c>
      <c r="C5" s="315" t="s">
        <v>236</v>
      </c>
      <c r="D5" s="67" t="s">
        <v>304</v>
      </c>
      <c r="E5" s="67" t="s">
        <v>305</v>
      </c>
      <c r="F5" s="67" t="s">
        <v>306</v>
      </c>
      <c r="G5" s="67" t="s">
        <v>307</v>
      </c>
      <c r="H5" s="67" t="s">
        <v>308</v>
      </c>
      <c r="I5" s="67" t="s">
        <v>309</v>
      </c>
      <c r="J5" s="67" t="s">
        <v>310</v>
      </c>
      <c r="K5" s="67" t="s">
        <v>311</v>
      </c>
      <c r="L5" s="67" t="s">
        <v>312</v>
      </c>
      <c r="M5" s="67" t="s">
        <v>313</v>
      </c>
      <c r="N5" s="67" t="s">
        <v>314</v>
      </c>
      <c r="O5" s="67" t="s">
        <v>315</v>
      </c>
      <c r="P5" s="373" t="s">
        <v>389</v>
      </c>
    </row>
    <row r="6" spans="1:16" ht="16.5" customHeight="1">
      <c r="A6" s="557" t="s">
        <v>190</v>
      </c>
      <c r="B6" s="594" t="s">
        <v>191</v>
      </c>
      <c r="C6" s="319" t="s">
        <v>94</v>
      </c>
      <c r="D6" s="369">
        <v>83058</v>
      </c>
      <c r="E6" s="198">
        <v>46018</v>
      </c>
      <c r="F6" s="297">
        <v>44918</v>
      </c>
      <c r="G6" s="297">
        <v>62637</v>
      </c>
      <c r="H6" s="297">
        <v>254227</v>
      </c>
      <c r="I6" s="297">
        <v>107000</v>
      </c>
      <c r="J6" s="297">
        <v>126960</v>
      </c>
      <c r="K6" s="297">
        <v>68432</v>
      </c>
      <c r="L6" s="198">
        <v>388507</v>
      </c>
      <c r="M6" s="198">
        <v>124408</v>
      </c>
      <c r="N6" s="198">
        <v>115112</v>
      </c>
      <c r="O6" s="199">
        <v>61730</v>
      </c>
      <c r="P6" s="346">
        <f>SUM(D6:O6)</f>
        <v>1483007</v>
      </c>
    </row>
    <row r="7" spans="1:16" ht="16.5" customHeight="1" thickBot="1">
      <c r="A7" s="558"/>
      <c r="B7" s="595"/>
      <c r="C7" s="321" t="s">
        <v>450</v>
      </c>
      <c r="D7" s="365">
        <v>1868819</v>
      </c>
      <c r="E7" s="302">
        <v>991503</v>
      </c>
      <c r="F7" s="302">
        <v>964280</v>
      </c>
      <c r="G7" s="302">
        <v>1454742</v>
      </c>
      <c r="H7" s="302">
        <v>7817990</v>
      </c>
      <c r="I7" s="302">
        <v>3829821</v>
      </c>
      <c r="J7" s="302">
        <v>4744234</v>
      </c>
      <c r="K7" s="302">
        <v>2204012</v>
      </c>
      <c r="L7" s="302">
        <v>11747778</v>
      </c>
      <c r="M7" s="302">
        <v>2856241</v>
      </c>
      <c r="N7" s="302">
        <v>2148023</v>
      </c>
      <c r="O7" s="302">
        <v>1046766</v>
      </c>
      <c r="P7" s="130">
        <f aca="true" t="shared" si="0" ref="P7:P78">SUM(D7:O7)</f>
        <v>41674209</v>
      </c>
    </row>
    <row r="8" spans="1:16" ht="16.5" customHeight="1">
      <c r="A8" s="558"/>
      <c r="B8" s="597" t="s">
        <v>192</v>
      </c>
      <c r="C8" s="319" t="s">
        <v>94</v>
      </c>
      <c r="D8" s="369">
        <v>35176</v>
      </c>
      <c r="E8" s="198">
        <v>15968</v>
      </c>
      <c r="F8" s="297">
        <v>12349</v>
      </c>
      <c r="G8" s="297">
        <v>17998</v>
      </c>
      <c r="H8" s="297">
        <v>125734</v>
      </c>
      <c r="I8" s="297">
        <v>54372</v>
      </c>
      <c r="J8" s="297">
        <v>46768</v>
      </c>
      <c r="K8" s="297">
        <v>42366</v>
      </c>
      <c r="L8" s="198">
        <v>235207</v>
      </c>
      <c r="M8" s="198">
        <v>48346</v>
      </c>
      <c r="N8" s="198">
        <v>28702</v>
      </c>
      <c r="O8" s="199">
        <v>15318</v>
      </c>
      <c r="P8" s="346">
        <f t="shared" si="0"/>
        <v>678304</v>
      </c>
    </row>
    <row r="9" spans="1:16" s="15" customFormat="1" ht="16.5" customHeight="1" thickBot="1">
      <c r="A9" s="559"/>
      <c r="B9" s="595"/>
      <c r="C9" s="321" t="s">
        <v>450</v>
      </c>
      <c r="D9" s="365">
        <v>795223</v>
      </c>
      <c r="E9" s="302">
        <v>342965</v>
      </c>
      <c r="F9" s="302">
        <v>264850</v>
      </c>
      <c r="G9" s="302">
        <v>421539</v>
      </c>
      <c r="H9" s="302">
        <v>3856062</v>
      </c>
      <c r="I9" s="302">
        <v>1935814</v>
      </c>
      <c r="J9" s="302">
        <v>1757329</v>
      </c>
      <c r="K9" s="302">
        <v>1348467</v>
      </c>
      <c r="L9" s="302">
        <v>7131904</v>
      </c>
      <c r="M9" s="302">
        <v>1115439</v>
      </c>
      <c r="N9" s="302">
        <v>532064</v>
      </c>
      <c r="O9" s="302">
        <v>261055</v>
      </c>
      <c r="P9" s="130">
        <f t="shared" si="0"/>
        <v>19762711</v>
      </c>
    </row>
    <row r="10" spans="1:16" s="9" customFormat="1" ht="9" customHeight="1">
      <c r="A10" s="578" t="s">
        <v>427</v>
      </c>
      <c r="B10" s="598" t="s">
        <v>1</v>
      </c>
      <c r="C10" s="319" t="s">
        <v>94</v>
      </c>
      <c r="D10" s="353">
        <v>0</v>
      </c>
      <c r="E10" s="198">
        <v>0</v>
      </c>
      <c r="F10" s="144">
        <v>78</v>
      </c>
      <c r="G10" s="144">
        <v>0</v>
      </c>
      <c r="H10" s="144">
        <v>544</v>
      </c>
      <c r="I10" s="144">
        <v>0</v>
      </c>
      <c r="J10" s="144">
        <v>0</v>
      </c>
      <c r="K10" s="144">
        <v>0</v>
      </c>
      <c r="L10" s="144">
        <v>1371272</v>
      </c>
      <c r="M10" s="199">
        <v>353243</v>
      </c>
      <c r="N10" s="199">
        <v>5973</v>
      </c>
      <c r="O10" s="199">
        <v>0</v>
      </c>
      <c r="P10" s="346">
        <f t="shared" si="0"/>
        <v>1731110</v>
      </c>
    </row>
    <row r="11" spans="1:16" s="9" customFormat="1" ht="9" customHeight="1" thickBot="1">
      <c r="A11" s="579"/>
      <c r="B11" s="606"/>
      <c r="C11" s="321" t="s">
        <v>450</v>
      </c>
      <c r="D11" s="365">
        <v>0</v>
      </c>
      <c r="E11" s="302">
        <v>0</v>
      </c>
      <c r="F11" s="302">
        <v>583</v>
      </c>
      <c r="G11" s="302">
        <v>0</v>
      </c>
      <c r="H11" s="302">
        <v>4080</v>
      </c>
      <c r="I11" s="302">
        <v>0</v>
      </c>
      <c r="J11" s="302">
        <v>0</v>
      </c>
      <c r="K11" s="302">
        <v>0</v>
      </c>
      <c r="L11" s="302">
        <v>2100748</v>
      </c>
      <c r="M11" s="302">
        <v>535181</v>
      </c>
      <c r="N11" s="302">
        <v>9089</v>
      </c>
      <c r="O11" s="302">
        <v>0</v>
      </c>
      <c r="P11" s="130">
        <f t="shared" si="0"/>
        <v>2649681</v>
      </c>
    </row>
    <row r="12" spans="1:16" s="9" customFormat="1" ht="9" customHeight="1">
      <c r="A12" s="579"/>
      <c r="B12" s="606" t="s">
        <v>2</v>
      </c>
      <c r="C12" s="319" t="s">
        <v>94</v>
      </c>
      <c r="D12" s="353">
        <v>611</v>
      </c>
      <c r="E12" s="198">
        <v>97</v>
      </c>
      <c r="F12" s="144">
        <v>2319</v>
      </c>
      <c r="G12" s="144">
        <v>3531</v>
      </c>
      <c r="H12" s="144">
        <v>1697</v>
      </c>
      <c r="I12" s="144">
        <v>5927</v>
      </c>
      <c r="J12" s="144">
        <v>496</v>
      </c>
      <c r="K12" s="144">
        <v>13329</v>
      </c>
      <c r="L12" s="199">
        <v>6963</v>
      </c>
      <c r="M12" s="199">
        <v>34</v>
      </c>
      <c r="N12" s="199">
        <v>448</v>
      </c>
      <c r="O12" s="199">
        <v>11509</v>
      </c>
      <c r="P12" s="346">
        <f t="shared" si="0"/>
        <v>46961</v>
      </c>
    </row>
    <row r="13" spans="1:16" s="9" customFormat="1" ht="9" customHeight="1" thickBot="1">
      <c r="A13" s="579"/>
      <c r="B13" s="606"/>
      <c r="C13" s="321" t="s">
        <v>450</v>
      </c>
      <c r="D13" s="365">
        <v>42763</v>
      </c>
      <c r="E13" s="302">
        <v>6794</v>
      </c>
      <c r="F13" s="302">
        <v>187331</v>
      </c>
      <c r="G13" s="302">
        <v>312650</v>
      </c>
      <c r="H13" s="302">
        <v>161615</v>
      </c>
      <c r="I13" s="302">
        <v>557555</v>
      </c>
      <c r="J13" s="302">
        <v>46533</v>
      </c>
      <c r="K13" s="302">
        <v>1099964</v>
      </c>
      <c r="L13" s="302">
        <v>591086</v>
      </c>
      <c r="M13" s="302">
        <v>2489</v>
      </c>
      <c r="N13" s="302">
        <v>24963</v>
      </c>
      <c r="O13" s="302">
        <v>626832</v>
      </c>
      <c r="P13" s="130">
        <f t="shared" si="0"/>
        <v>3660575</v>
      </c>
    </row>
    <row r="14" spans="1:16" s="9" customFormat="1" ht="9" customHeight="1">
      <c r="A14" s="579"/>
      <c r="B14" s="606" t="s">
        <v>3</v>
      </c>
      <c r="C14" s="319" t="s">
        <v>94</v>
      </c>
      <c r="D14" s="353">
        <v>2167</v>
      </c>
      <c r="E14" s="198">
        <v>1349</v>
      </c>
      <c r="F14" s="144">
        <v>7559</v>
      </c>
      <c r="G14" s="144">
        <v>5858</v>
      </c>
      <c r="H14" s="144">
        <v>6862</v>
      </c>
      <c r="I14" s="144">
        <v>7276</v>
      </c>
      <c r="J14" s="144">
        <v>2042</v>
      </c>
      <c r="K14" s="144">
        <v>11437</v>
      </c>
      <c r="L14" s="199">
        <v>4007</v>
      </c>
      <c r="M14" s="199">
        <v>7210</v>
      </c>
      <c r="N14" s="199">
        <v>1979</v>
      </c>
      <c r="O14" s="199">
        <v>1301</v>
      </c>
      <c r="P14" s="346">
        <f t="shared" si="0"/>
        <v>59047</v>
      </c>
    </row>
    <row r="15" spans="1:16" s="9" customFormat="1" ht="9" customHeight="1" thickBot="1">
      <c r="A15" s="579"/>
      <c r="B15" s="606"/>
      <c r="C15" s="321" t="s">
        <v>450</v>
      </c>
      <c r="D15" s="365">
        <v>161599</v>
      </c>
      <c r="E15" s="302">
        <v>99585</v>
      </c>
      <c r="F15" s="302">
        <v>634682</v>
      </c>
      <c r="G15" s="302">
        <v>548857</v>
      </c>
      <c r="H15" s="302">
        <v>680180</v>
      </c>
      <c r="I15" s="302">
        <v>722946</v>
      </c>
      <c r="J15" s="302">
        <v>200713</v>
      </c>
      <c r="K15" s="302">
        <v>1015525</v>
      </c>
      <c r="L15" s="302">
        <v>343924</v>
      </c>
      <c r="M15" s="302">
        <v>552155</v>
      </c>
      <c r="N15" s="302">
        <v>119898</v>
      </c>
      <c r="O15" s="302">
        <v>71914</v>
      </c>
      <c r="P15" s="130">
        <f t="shared" si="0"/>
        <v>5151978</v>
      </c>
    </row>
    <row r="16" spans="1:16" s="9" customFormat="1" ht="9" customHeight="1">
      <c r="A16" s="579"/>
      <c r="B16" s="606" t="s">
        <v>4</v>
      </c>
      <c r="C16" s="319" t="s">
        <v>94</v>
      </c>
      <c r="D16" s="353">
        <v>495</v>
      </c>
      <c r="E16" s="198">
        <v>109</v>
      </c>
      <c r="F16" s="144">
        <v>0</v>
      </c>
      <c r="G16" s="144">
        <v>0</v>
      </c>
      <c r="H16" s="144">
        <v>1462</v>
      </c>
      <c r="I16" s="144">
        <v>152</v>
      </c>
      <c r="J16" s="144">
        <v>1039</v>
      </c>
      <c r="K16" s="144">
        <v>88</v>
      </c>
      <c r="L16" s="199">
        <v>2902</v>
      </c>
      <c r="M16" s="199">
        <v>627</v>
      </c>
      <c r="N16" s="199">
        <v>204</v>
      </c>
      <c r="O16" s="199">
        <v>629</v>
      </c>
      <c r="P16" s="346">
        <f t="shared" si="0"/>
        <v>7707</v>
      </c>
    </row>
    <row r="17" spans="1:16" s="9" customFormat="1" ht="9" customHeight="1" thickBot="1">
      <c r="A17" s="579"/>
      <c r="B17" s="606"/>
      <c r="C17" s="321" t="s">
        <v>450</v>
      </c>
      <c r="D17" s="365">
        <v>13010</v>
      </c>
      <c r="E17" s="302">
        <v>2980</v>
      </c>
      <c r="F17" s="302">
        <v>0</v>
      </c>
      <c r="G17" s="302">
        <v>0</v>
      </c>
      <c r="H17" s="302">
        <v>36613</v>
      </c>
      <c r="I17" s="302">
        <v>3794</v>
      </c>
      <c r="J17" s="302">
        <v>25975</v>
      </c>
      <c r="K17" s="302">
        <v>2204</v>
      </c>
      <c r="L17" s="302">
        <v>74354</v>
      </c>
      <c r="M17" s="302">
        <v>15670</v>
      </c>
      <c r="N17" s="302">
        <v>5130</v>
      </c>
      <c r="O17" s="302">
        <v>16119</v>
      </c>
      <c r="P17" s="130">
        <f t="shared" si="0"/>
        <v>195849</v>
      </c>
    </row>
    <row r="18" spans="1:16" s="9" customFormat="1" ht="9" customHeight="1">
      <c r="A18" s="579"/>
      <c r="B18" s="606" t="s">
        <v>5</v>
      </c>
      <c r="C18" s="319" t="s">
        <v>94</v>
      </c>
      <c r="D18" s="353">
        <v>204</v>
      </c>
      <c r="E18" s="198">
        <v>28</v>
      </c>
      <c r="F18" s="144">
        <v>521</v>
      </c>
      <c r="G18" s="144">
        <v>18</v>
      </c>
      <c r="H18" s="144">
        <v>421</v>
      </c>
      <c r="I18" s="144">
        <v>391</v>
      </c>
      <c r="J18" s="144">
        <v>142</v>
      </c>
      <c r="K18" s="144">
        <v>137</v>
      </c>
      <c r="L18" s="199">
        <v>375</v>
      </c>
      <c r="M18" s="199">
        <v>21</v>
      </c>
      <c r="N18" s="199">
        <v>0</v>
      </c>
      <c r="O18" s="199">
        <v>208</v>
      </c>
      <c r="P18" s="346">
        <f t="shared" si="0"/>
        <v>2466</v>
      </c>
    </row>
    <row r="19" spans="1:16" s="9" customFormat="1" ht="9" customHeight="1" thickBot="1">
      <c r="A19" s="579"/>
      <c r="B19" s="606"/>
      <c r="C19" s="321" t="s">
        <v>450</v>
      </c>
      <c r="D19" s="365">
        <v>20647</v>
      </c>
      <c r="E19" s="302">
        <v>2922</v>
      </c>
      <c r="F19" s="302">
        <v>54919</v>
      </c>
      <c r="G19" s="302">
        <v>1846</v>
      </c>
      <c r="H19" s="302">
        <v>42105</v>
      </c>
      <c r="I19" s="302">
        <v>39245</v>
      </c>
      <c r="J19" s="302">
        <v>14191</v>
      </c>
      <c r="K19" s="302">
        <v>13701</v>
      </c>
      <c r="L19" s="302">
        <v>37548</v>
      </c>
      <c r="M19" s="302">
        <v>2114</v>
      </c>
      <c r="N19" s="302">
        <v>0</v>
      </c>
      <c r="O19" s="302">
        <v>20765</v>
      </c>
      <c r="P19" s="130">
        <f t="shared" si="0"/>
        <v>250003</v>
      </c>
    </row>
    <row r="20" spans="1:16" s="9" customFormat="1" ht="9" customHeight="1">
      <c r="A20" s="579"/>
      <c r="B20" s="606" t="s">
        <v>6</v>
      </c>
      <c r="C20" s="319" t="s">
        <v>94</v>
      </c>
      <c r="D20" s="353">
        <v>12381</v>
      </c>
      <c r="E20" s="198">
        <v>11093</v>
      </c>
      <c r="F20" s="144">
        <v>2056</v>
      </c>
      <c r="G20" s="144">
        <v>12651</v>
      </c>
      <c r="H20" s="144">
        <v>3457</v>
      </c>
      <c r="I20" s="144">
        <v>351</v>
      </c>
      <c r="J20" s="144">
        <v>1507</v>
      </c>
      <c r="K20" s="144">
        <v>4570</v>
      </c>
      <c r="L20" s="199">
        <v>3357</v>
      </c>
      <c r="M20" s="199">
        <v>14939</v>
      </c>
      <c r="N20" s="199">
        <v>13648</v>
      </c>
      <c r="O20" s="199">
        <v>534</v>
      </c>
      <c r="P20" s="346">
        <f t="shared" si="0"/>
        <v>80544</v>
      </c>
    </row>
    <row r="21" spans="1:16" s="9" customFormat="1" ht="9" customHeight="1" thickBot="1">
      <c r="A21" s="579"/>
      <c r="B21" s="606"/>
      <c r="C21" s="321" t="s">
        <v>450</v>
      </c>
      <c r="D21" s="365">
        <v>149810</v>
      </c>
      <c r="E21" s="302">
        <v>129112</v>
      </c>
      <c r="F21" s="302">
        <v>26686</v>
      </c>
      <c r="G21" s="302">
        <v>165444</v>
      </c>
      <c r="H21" s="302">
        <v>50352</v>
      </c>
      <c r="I21" s="302">
        <v>5378</v>
      </c>
      <c r="J21" s="302">
        <v>23610</v>
      </c>
      <c r="K21" s="302">
        <v>74760</v>
      </c>
      <c r="L21" s="302">
        <v>56711</v>
      </c>
      <c r="M21" s="302">
        <v>248113</v>
      </c>
      <c r="N21" s="302">
        <v>264719</v>
      </c>
      <c r="O21" s="302">
        <v>9741</v>
      </c>
      <c r="P21" s="130">
        <f t="shared" si="0"/>
        <v>1204436</v>
      </c>
    </row>
    <row r="22" spans="1:16" s="9" customFormat="1" ht="9" customHeight="1">
      <c r="A22" s="579"/>
      <c r="B22" s="606" t="s">
        <v>7</v>
      </c>
      <c r="C22" s="319" t="s">
        <v>94</v>
      </c>
      <c r="D22" s="353">
        <v>119</v>
      </c>
      <c r="E22" s="198">
        <v>0</v>
      </c>
      <c r="F22" s="198">
        <v>0</v>
      </c>
      <c r="G22" s="198">
        <v>0</v>
      </c>
      <c r="H22" s="198">
        <v>228</v>
      </c>
      <c r="I22" s="198">
        <v>714</v>
      </c>
      <c r="J22" s="144">
        <v>18894</v>
      </c>
      <c r="K22" s="144">
        <v>0</v>
      </c>
      <c r="L22" s="199">
        <v>190</v>
      </c>
      <c r="M22" s="199">
        <v>0</v>
      </c>
      <c r="N22" s="199">
        <v>8825</v>
      </c>
      <c r="O22" s="199">
        <v>0</v>
      </c>
      <c r="P22" s="346">
        <f t="shared" si="0"/>
        <v>28970</v>
      </c>
    </row>
    <row r="23" spans="1:16" s="9" customFormat="1" ht="9" customHeight="1" thickBot="1">
      <c r="A23" s="579"/>
      <c r="B23" s="606"/>
      <c r="C23" s="321" t="s">
        <v>450</v>
      </c>
      <c r="D23" s="365">
        <v>1369</v>
      </c>
      <c r="E23" s="302">
        <v>0</v>
      </c>
      <c r="F23" s="302">
        <v>0</v>
      </c>
      <c r="G23" s="302">
        <v>0</v>
      </c>
      <c r="H23" s="302">
        <v>2621</v>
      </c>
      <c r="I23" s="302">
        <v>8214</v>
      </c>
      <c r="J23" s="302">
        <v>225642</v>
      </c>
      <c r="K23" s="302">
        <v>0</v>
      </c>
      <c r="L23" s="302">
        <v>2295</v>
      </c>
      <c r="M23" s="302">
        <v>0</v>
      </c>
      <c r="N23" s="302">
        <v>106776</v>
      </c>
      <c r="O23" s="302">
        <v>0</v>
      </c>
      <c r="P23" s="130">
        <f t="shared" si="0"/>
        <v>346917</v>
      </c>
    </row>
    <row r="24" spans="1:16" s="9" customFormat="1" ht="9" customHeight="1">
      <c r="A24" s="579"/>
      <c r="B24" s="606" t="s">
        <v>8</v>
      </c>
      <c r="C24" s="319" t="s">
        <v>94</v>
      </c>
      <c r="D24" s="353">
        <v>148</v>
      </c>
      <c r="E24" s="198">
        <v>20</v>
      </c>
      <c r="F24" s="144">
        <v>111</v>
      </c>
      <c r="G24" s="144">
        <v>1040</v>
      </c>
      <c r="H24" s="144">
        <v>684</v>
      </c>
      <c r="I24" s="144">
        <v>365</v>
      </c>
      <c r="J24" s="144">
        <v>628</v>
      </c>
      <c r="K24" s="144">
        <v>1066</v>
      </c>
      <c r="L24" s="199">
        <v>298</v>
      </c>
      <c r="M24" s="199">
        <v>777</v>
      </c>
      <c r="N24" s="199">
        <v>2700</v>
      </c>
      <c r="O24" s="199">
        <v>400</v>
      </c>
      <c r="P24" s="346">
        <f t="shared" si="0"/>
        <v>8237</v>
      </c>
    </row>
    <row r="25" spans="1:16" s="9" customFormat="1" ht="9" customHeight="1" thickBot="1">
      <c r="A25" s="579"/>
      <c r="B25" s="606"/>
      <c r="C25" s="321" t="s">
        <v>450</v>
      </c>
      <c r="D25" s="365">
        <v>3668</v>
      </c>
      <c r="E25" s="302">
        <v>497</v>
      </c>
      <c r="F25" s="302">
        <v>2761</v>
      </c>
      <c r="G25" s="302">
        <v>26400</v>
      </c>
      <c r="H25" s="302">
        <v>17105</v>
      </c>
      <c r="I25" s="302">
        <v>9119</v>
      </c>
      <c r="J25" s="302">
        <v>15871</v>
      </c>
      <c r="K25" s="302">
        <v>26857</v>
      </c>
      <c r="L25" s="302">
        <v>7589</v>
      </c>
      <c r="M25" s="302">
        <v>19861</v>
      </c>
      <c r="N25" s="302">
        <v>68930</v>
      </c>
      <c r="O25" s="302">
        <v>10197</v>
      </c>
      <c r="P25" s="130">
        <f t="shared" si="0"/>
        <v>208855</v>
      </c>
    </row>
    <row r="26" spans="1:16" s="9" customFormat="1" ht="9" customHeight="1">
      <c r="A26" s="579"/>
      <c r="B26" s="606" t="s">
        <v>9</v>
      </c>
      <c r="C26" s="319" t="s">
        <v>94</v>
      </c>
      <c r="D26" s="353">
        <v>0</v>
      </c>
      <c r="E26" s="198">
        <v>960</v>
      </c>
      <c r="F26" s="144">
        <v>44</v>
      </c>
      <c r="G26" s="144">
        <v>540</v>
      </c>
      <c r="H26" s="144">
        <v>632</v>
      </c>
      <c r="I26" s="144">
        <v>1176</v>
      </c>
      <c r="J26" s="144">
        <v>0</v>
      </c>
      <c r="K26" s="144">
        <v>325</v>
      </c>
      <c r="L26" s="199">
        <v>543</v>
      </c>
      <c r="M26" s="199">
        <v>286</v>
      </c>
      <c r="N26" s="199">
        <v>0</v>
      </c>
      <c r="O26" s="199">
        <v>282</v>
      </c>
      <c r="P26" s="346">
        <f t="shared" si="0"/>
        <v>4788</v>
      </c>
    </row>
    <row r="27" spans="1:16" s="9" customFormat="1" ht="9" customHeight="1" thickBot="1">
      <c r="A27" s="579"/>
      <c r="B27" s="606"/>
      <c r="C27" s="321" t="s">
        <v>450</v>
      </c>
      <c r="D27" s="365">
        <v>0</v>
      </c>
      <c r="E27" s="302">
        <v>24000</v>
      </c>
      <c r="F27" s="302">
        <v>1122</v>
      </c>
      <c r="G27" s="302">
        <v>13560</v>
      </c>
      <c r="H27" s="302">
        <v>15789</v>
      </c>
      <c r="I27" s="302">
        <v>29405</v>
      </c>
      <c r="J27" s="302">
        <v>0</v>
      </c>
      <c r="K27" s="302">
        <v>8223</v>
      </c>
      <c r="L27" s="302">
        <v>13374</v>
      </c>
      <c r="M27" s="302">
        <v>7214</v>
      </c>
      <c r="N27" s="302">
        <v>0</v>
      </c>
      <c r="O27" s="302">
        <v>7129</v>
      </c>
      <c r="P27" s="130">
        <f t="shared" si="0"/>
        <v>119816</v>
      </c>
    </row>
    <row r="28" spans="1:16" s="9" customFormat="1" ht="9" customHeight="1">
      <c r="A28" s="579"/>
      <c r="B28" s="606" t="s">
        <v>10</v>
      </c>
      <c r="C28" s="319" t="s">
        <v>94</v>
      </c>
      <c r="D28" s="353">
        <v>42624</v>
      </c>
      <c r="E28" s="198">
        <v>28044</v>
      </c>
      <c r="F28" s="144">
        <v>36149</v>
      </c>
      <c r="G28" s="144">
        <v>36697</v>
      </c>
      <c r="H28" s="144">
        <v>133159</v>
      </c>
      <c r="I28" s="144">
        <v>36939</v>
      </c>
      <c r="J28" s="144">
        <v>24964</v>
      </c>
      <c r="K28" s="144">
        <v>26779</v>
      </c>
      <c r="L28" s="199">
        <v>12716</v>
      </c>
      <c r="M28" s="199">
        <v>53613</v>
      </c>
      <c r="N28" s="199">
        <v>16436</v>
      </c>
      <c r="O28" s="199">
        <v>59538</v>
      </c>
      <c r="P28" s="346">
        <f t="shared" si="0"/>
        <v>507658</v>
      </c>
    </row>
    <row r="29" spans="1:16" s="9" customFormat="1" ht="9" customHeight="1" thickBot="1">
      <c r="A29" s="579"/>
      <c r="B29" s="606"/>
      <c r="C29" s="321" t="s">
        <v>450</v>
      </c>
      <c r="D29" s="365">
        <v>95998</v>
      </c>
      <c r="E29" s="302">
        <v>62997</v>
      </c>
      <c r="F29" s="302">
        <v>79307</v>
      </c>
      <c r="G29" s="302">
        <v>85649</v>
      </c>
      <c r="H29" s="302">
        <v>369549</v>
      </c>
      <c r="I29" s="302">
        <v>104357</v>
      </c>
      <c r="J29" s="302">
        <v>69633</v>
      </c>
      <c r="K29" s="302">
        <v>65441</v>
      </c>
      <c r="L29" s="302">
        <v>29055</v>
      </c>
      <c r="M29" s="302">
        <v>107456</v>
      </c>
      <c r="N29" s="302">
        <v>29536</v>
      </c>
      <c r="O29" s="302">
        <v>98457</v>
      </c>
      <c r="P29" s="130">
        <f t="shared" si="0"/>
        <v>1197435</v>
      </c>
    </row>
    <row r="30" spans="1:16" s="9" customFormat="1" ht="9" customHeight="1">
      <c r="A30" s="579"/>
      <c r="B30" s="606" t="s">
        <v>11</v>
      </c>
      <c r="C30" s="319" t="s">
        <v>94</v>
      </c>
      <c r="D30" s="353">
        <v>15</v>
      </c>
      <c r="E30" s="198">
        <v>15</v>
      </c>
      <c r="F30" s="144">
        <v>57</v>
      </c>
      <c r="G30" s="144">
        <v>4</v>
      </c>
      <c r="H30" s="144">
        <v>185</v>
      </c>
      <c r="I30" s="144">
        <v>431</v>
      </c>
      <c r="J30" s="144">
        <v>249</v>
      </c>
      <c r="K30" s="144">
        <v>227</v>
      </c>
      <c r="L30" s="199">
        <v>60</v>
      </c>
      <c r="M30" s="199">
        <v>7</v>
      </c>
      <c r="N30" s="199">
        <v>23</v>
      </c>
      <c r="O30" s="199">
        <v>0</v>
      </c>
      <c r="P30" s="346">
        <f t="shared" si="0"/>
        <v>1273</v>
      </c>
    </row>
    <row r="31" spans="1:16" s="9" customFormat="1" ht="9" customHeight="1" thickBot="1">
      <c r="A31" s="579"/>
      <c r="B31" s="606"/>
      <c r="C31" s="321" t="s">
        <v>450</v>
      </c>
      <c r="D31" s="365">
        <v>1586</v>
      </c>
      <c r="E31" s="302">
        <v>1608</v>
      </c>
      <c r="F31" s="302">
        <v>5945</v>
      </c>
      <c r="G31" s="302">
        <v>416</v>
      </c>
      <c r="H31" s="302">
        <v>18841</v>
      </c>
      <c r="I31" s="302">
        <v>43854</v>
      </c>
      <c r="J31" s="302">
        <v>25340</v>
      </c>
      <c r="K31" s="302">
        <v>23059</v>
      </c>
      <c r="L31" s="302">
        <v>6211</v>
      </c>
      <c r="M31" s="302">
        <v>737</v>
      </c>
      <c r="N31" s="302">
        <v>2339</v>
      </c>
      <c r="O31" s="302">
        <v>0</v>
      </c>
      <c r="P31" s="130">
        <f t="shared" si="0"/>
        <v>129936</v>
      </c>
    </row>
    <row r="32" spans="1:16" s="9" customFormat="1" ht="9" customHeight="1">
      <c r="A32" s="579"/>
      <c r="B32" s="606" t="s">
        <v>296</v>
      </c>
      <c r="C32" s="319" t="s">
        <v>94</v>
      </c>
      <c r="D32" s="353">
        <v>0</v>
      </c>
      <c r="E32" s="198">
        <v>0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99">
        <v>0</v>
      </c>
      <c r="M32" s="199">
        <v>171</v>
      </c>
      <c r="N32" s="199">
        <v>50</v>
      </c>
      <c r="O32" s="199">
        <v>103</v>
      </c>
      <c r="P32" s="346">
        <f t="shared" si="0"/>
        <v>324</v>
      </c>
    </row>
    <row r="33" spans="1:16" s="9" customFormat="1" ht="9" customHeight="1" thickBot="1">
      <c r="A33" s="579"/>
      <c r="B33" s="606"/>
      <c r="C33" s="321" t="s">
        <v>450</v>
      </c>
      <c r="D33" s="365">
        <v>0</v>
      </c>
      <c r="E33" s="302">
        <v>0</v>
      </c>
      <c r="F33" s="302">
        <v>0</v>
      </c>
      <c r="G33" s="302">
        <v>0</v>
      </c>
      <c r="H33" s="302">
        <v>0</v>
      </c>
      <c r="I33" s="302">
        <v>0</v>
      </c>
      <c r="J33" s="302">
        <v>0</v>
      </c>
      <c r="K33" s="302">
        <v>0</v>
      </c>
      <c r="L33" s="302">
        <v>0</v>
      </c>
      <c r="M33" s="302">
        <v>17133</v>
      </c>
      <c r="N33" s="302">
        <v>4995</v>
      </c>
      <c r="O33" s="302">
        <v>10078</v>
      </c>
      <c r="P33" s="130">
        <f t="shared" si="0"/>
        <v>32206</v>
      </c>
    </row>
    <row r="34" spans="1:16" s="9" customFormat="1" ht="9" customHeight="1">
      <c r="A34" s="579"/>
      <c r="B34" s="606" t="s">
        <v>12</v>
      </c>
      <c r="C34" s="319" t="s">
        <v>94</v>
      </c>
      <c r="D34" s="353">
        <v>18366</v>
      </c>
      <c r="E34" s="198">
        <v>9811</v>
      </c>
      <c r="F34" s="144">
        <v>22320</v>
      </c>
      <c r="G34" s="144">
        <v>11337</v>
      </c>
      <c r="H34" s="144">
        <v>94022</v>
      </c>
      <c r="I34" s="144">
        <v>26604</v>
      </c>
      <c r="J34" s="144">
        <v>16507</v>
      </c>
      <c r="K34" s="144">
        <v>8191</v>
      </c>
      <c r="L34" s="199">
        <v>8813</v>
      </c>
      <c r="M34" s="199">
        <v>54614</v>
      </c>
      <c r="N34" s="199">
        <v>8382</v>
      </c>
      <c r="O34" s="199">
        <v>10488</v>
      </c>
      <c r="P34" s="346">
        <f t="shared" si="0"/>
        <v>289455</v>
      </c>
    </row>
    <row r="35" spans="1:16" s="9" customFormat="1" ht="9" customHeight="1" thickBot="1">
      <c r="A35" s="579"/>
      <c r="B35" s="606"/>
      <c r="C35" s="321" t="s">
        <v>450</v>
      </c>
      <c r="D35" s="365">
        <v>42112</v>
      </c>
      <c r="E35" s="302">
        <v>22462</v>
      </c>
      <c r="F35" s="302">
        <v>49232</v>
      </c>
      <c r="G35" s="302">
        <v>26891</v>
      </c>
      <c r="H35" s="302">
        <v>262816</v>
      </c>
      <c r="I35" s="302">
        <v>75643</v>
      </c>
      <c r="J35" s="302">
        <v>46551</v>
      </c>
      <c r="K35" s="302">
        <v>20442</v>
      </c>
      <c r="L35" s="302">
        <v>20366</v>
      </c>
      <c r="M35" s="302">
        <v>109870</v>
      </c>
      <c r="N35" s="302">
        <v>15033</v>
      </c>
      <c r="O35" s="302">
        <v>17270</v>
      </c>
      <c r="P35" s="130">
        <f t="shared" si="0"/>
        <v>708688</v>
      </c>
    </row>
    <row r="36" spans="1:16" s="9" customFormat="1" ht="9" customHeight="1">
      <c r="A36" s="579"/>
      <c r="B36" s="606" t="s">
        <v>13</v>
      </c>
      <c r="C36" s="319" t="s">
        <v>94</v>
      </c>
      <c r="D36" s="353">
        <v>1446</v>
      </c>
      <c r="E36" s="198">
        <v>0</v>
      </c>
      <c r="F36" s="144">
        <v>0</v>
      </c>
      <c r="G36" s="144">
        <v>101</v>
      </c>
      <c r="H36" s="144">
        <v>0</v>
      </c>
      <c r="I36" s="144">
        <v>904</v>
      </c>
      <c r="J36" s="144">
        <v>11815</v>
      </c>
      <c r="K36" s="144">
        <v>425</v>
      </c>
      <c r="L36" s="199">
        <v>4238</v>
      </c>
      <c r="M36" s="199">
        <v>531</v>
      </c>
      <c r="N36" s="199">
        <v>150</v>
      </c>
      <c r="O36" s="199">
        <v>341</v>
      </c>
      <c r="P36" s="346">
        <f t="shared" si="0"/>
        <v>19951</v>
      </c>
    </row>
    <row r="37" spans="1:16" s="9" customFormat="1" ht="9" customHeight="1" thickBot="1">
      <c r="A37" s="579"/>
      <c r="B37" s="606"/>
      <c r="C37" s="321" t="s">
        <v>450</v>
      </c>
      <c r="D37" s="365">
        <v>5863</v>
      </c>
      <c r="E37" s="302">
        <v>0</v>
      </c>
      <c r="F37" s="302">
        <v>0</v>
      </c>
      <c r="G37" s="302">
        <v>414</v>
      </c>
      <c r="H37" s="302">
        <v>0</v>
      </c>
      <c r="I37" s="302">
        <v>3822</v>
      </c>
      <c r="J37" s="302">
        <v>55129</v>
      </c>
      <c r="K37" s="302">
        <v>2003</v>
      </c>
      <c r="L37" s="302">
        <v>21107</v>
      </c>
      <c r="M37" s="302">
        <v>2538</v>
      </c>
      <c r="N37" s="302">
        <v>683</v>
      </c>
      <c r="O37" s="302">
        <v>1648</v>
      </c>
      <c r="P37" s="130">
        <f t="shared" si="0"/>
        <v>93207</v>
      </c>
    </row>
    <row r="38" spans="1:16" s="9" customFormat="1" ht="9" customHeight="1">
      <c r="A38" s="579"/>
      <c r="B38" s="606" t="s">
        <v>14</v>
      </c>
      <c r="C38" s="319" t="s">
        <v>94</v>
      </c>
      <c r="D38" s="353">
        <v>1271</v>
      </c>
      <c r="E38" s="198">
        <v>50</v>
      </c>
      <c r="F38" s="144">
        <v>0</v>
      </c>
      <c r="G38" s="144">
        <v>143</v>
      </c>
      <c r="H38" s="144">
        <v>0</v>
      </c>
      <c r="I38" s="144">
        <v>0</v>
      </c>
      <c r="J38" s="144">
        <v>68</v>
      </c>
      <c r="K38" s="144">
        <v>0</v>
      </c>
      <c r="L38" s="199">
        <v>48</v>
      </c>
      <c r="M38" s="199">
        <v>0</v>
      </c>
      <c r="N38" s="199">
        <v>0</v>
      </c>
      <c r="O38" s="199">
        <v>0</v>
      </c>
      <c r="P38" s="346">
        <f t="shared" si="0"/>
        <v>1580</v>
      </c>
    </row>
    <row r="39" spans="1:16" s="9" customFormat="1" ht="9" customHeight="1" thickBot="1">
      <c r="A39" s="579"/>
      <c r="B39" s="606"/>
      <c r="C39" s="321" t="s">
        <v>450</v>
      </c>
      <c r="D39" s="365">
        <v>129090</v>
      </c>
      <c r="E39" s="302">
        <v>5100</v>
      </c>
      <c r="F39" s="302">
        <v>0</v>
      </c>
      <c r="G39" s="302">
        <v>14335</v>
      </c>
      <c r="H39" s="302">
        <v>0</v>
      </c>
      <c r="I39" s="302">
        <v>0</v>
      </c>
      <c r="J39" s="302">
        <v>6818</v>
      </c>
      <c r="K39" s="302">
        <v>0</v>
      </c>
      <c r="L39" s="302">
        <v>4762</v>
      </c>
      <c r="M39" s="302">
        <v>0</v>
      </c>
      <c r="N39" s="302">
        <v>0</v>
      </c>
      <c r="O39" s="302">
        <v>0</v>
      </c>
      <c r="P39" s="130">
        <f t="shared" si="0"/>
        <v>160105</v>
      </c>
    </row>
    <row r="40" spans="1:16" s="9" customFormat="1" ht="9" customHeight="1">
      <c r="A40" s="579"/>
      <c r="B40" s="606" t="s">
        <v>15</v>
      </c>
      <c r="C40" s="319" t="s">
        <v>94</v>
      </c>
      <c r="D40" s="353">
        <v>3098</v>
      </c>
      <c r="E40" s="198">
        <v>2217</v>
      </c>
      <c r="F40" s="144">
        <v>1550</v>
      </c>
      <c r="G40" s="144">
        <v>4337</v>
      </c>
      <c r="H40" s="144">
        <v>9719</v>
      </c>
      <c r="I40" s="144">
        <v>4730</v>
      </c>
      <c r="J40" s="144">
        <v>3794</v>
      </c>
      <c r="K40" s="144">
        <v>2313</v>
      </c>
      <c r="L40" s="199">
        <v>4600</v>
      </c>
      <c r="M40" s="199">
        <v>4370</v>
      </c>
      <c r="N40" s="199">
        <v>1065</v>
      </c>
      <c r="O40" s="199">
        <v>2163</v>
      </c>
      <c r="P40" s="346">
        <f t="shared" si="0"/>
        <v>43956</v>
      </c>
    </row>
    <row r="41" spans="1:16" s="9" customFormat="1" ht="9" customHeight="1" thickBot="1">
      <c r="A41" s="579"/>
      <c r="B41" s="606"/>
      <c r="C41" s="321" t="s">
        <v>450</v>
      </c>
      <c r="D41" s="365">
        <v>274103</v>
      </c>
      <c r="E41" s="302">
        <v>197633</v>
      </c>
      <c r="F41" s="302">
        <v>139748</v>
      </c>
      <c r="G41" s="302">
        <v>406599</v>
      </c>
      <c r="H41" s="302">
        <v>987416</v>
      </c>
      <c r="I41" s="302">
        <v>493370</v>
      </c>
      <c r="J41" s="302">
        <v>387635</v>
      </c>
      <c r="K41" s="302">
        <v>234767</v>
      </c>
      <c r="L41" s="302">
        <v>448543</v>
      </c>
      <c r="M41" s="302">
        <v>354036</v>
      </c>
      <c r="N41" s="302">
        <v>77963</v>
      </c>
      <c r="O41" s="302">
        <v>151002</v>
      </c>
      <c r="P41" s="130">
        <f t="shared" si="0"/>
        <v>4152815</v>
      </c>
    </row>
    <row r="42" spans="1:16" s="9" customFormat="1" ht="9" customHeight="1">
      <c r="A42" s="579"/>
      <c r="B42" s="606" t="s">
        <v>16</v>
      </c>
      <c r="C42" s="319" t="s">
        <v>94</v>
      </c>
      <c r="D42" s="353">
        <v>348</v>
      </c>
      <c r="E42" s="198">
        <v>2182</v>
      </c>
      <c r="F42" s="144">
        <v>1954</v>
      </c>
      <c r="G42" s="144">
        <v>2125</v>
      </c>
      <c r="H42" s="144">
        <v>219</v>
      </c>
      <c r="I42" s="144">
        <v>48</v>
      </c>
      <c r="J42" s="144">
        <v>1033</v>
      </c>
      <c r="K42" s="144">
        <v>1192</v>
      </c>
      <c r="L42" s="199">
        <v>1527</v>
      </c>
      <c r="M42" s="199">
        <v>2330</v>
      </c>
      <c r="N42" s="199">
        <v>3</v>
      </c>
      <c r="O42" s="199">
        <v>391</v>
      </c>
      <c r="P42" s="346">
        <f t="shared" si="0"/>
        <v>13352</v>
      </c>
    </row>
    <row r="43" spans="1:16" s="9" customFormat="1" ht="9" customHeight="1" thickBot="1">
      <c r="A43" s="579"/>
      <c r="B43" s="606"/>
      <c r="C43" s="321" t="s">
        <v>450</v>
      </c>
      <c r="D43" s="365">
        <v>28898</v>
      </c>
      <c r="E43" s="302">
        <v>177861</v>
      </c>
      <c r="F43" s="302">
        <v>156399</v>
      </c>
      <c r="G43" s="302">
        <v>176735</v>
      </c>
      <c r="H43" s="302">
        <v>19076</v>
      </c>
      <c r="I43" s="302">
        <v>4724</v>
      </c>
      <c r="J43" s="302">
        <v>10754</v>
      </c>
      <c r="K43" s="302">
        <v>110367</v>
      </c>
      <c r="L43" s="302">
        <v>142084</v>
      </c>
      <c r="M43" s="302">
        <v>195040</v>
      </c>
      <c r="N43" s="302">
        <v>188</v>
      </c>
      <c r="O43" s="302">
        <v>29235</v>
      </c>
      <c r="P43" s="130">
        <f t="shared" si="0"/>
        <v>1051361</v>
      </c>
    </row>
    <row r="44" spans="1:16" s="9" customFormat="1" ht="9" customHeight="1">
      <c r="A44" s="579"/>
      <c r="B44" s="606" t="s">
        <v>17</v>
      </c>
      <c r="C44" s="319" t="s">
        <v>94</v>
      </c>
      <c r="D44" s="353">
        <v>57</v>
      </c>
      <c r="E44" s="198">
        <v>0</v>
      </c>
      <c r="F44" s="144">
        <v>0</v>
      </c>
      <c r="G44" s="144">
        <v>0</v>
      </c>
      <c r="H44" s="144">
        <v>0</v>
      </c>
      <c r="I44" s="356">
        <v>0</v>
      </c>
      <c r="J44" s="356">
        <v>0</v>
      </c>
      <c r="K44" s="356">
        <v>0</v>
      </c>
      <c r="L44" s="356">
        <v>0</v>
      </c>
      <c r="M44" s="356">
        <v>0</v>
      </c>
      <c r="N44" s="356">
        <v>0</v>
      </c>
      <c r="O44" s="356">
        <v>0</v>
      </c>
      <c r="P44" s="346">
        <f t="shared" si="0"/>
        <v>57</v>
      </c>
    </row>
    <row r="45" spans="1:16" s="9" customFormat="1" ht="9" customHeight="1" thickBot="1">
      <c r="A45" s="579"/>
      <c r="B45" s="606"/>
      <c r="C45" s="321" t="s">
        <v>450</v>
      </c>
      <c r="D45" s="365">
        <v>5829</v>
      </c>
      <c r="E45" s="302">
        <v>0</v>
      </c>
      <c r="F45" s="302">
        <v>0</v>
      </c>
      <c r="G45" s="302">
        <v>0</v>
      </c>
      <c r="H45" s="302">
        <v>0</v>
      </c>
      <c r="I45" s="302">
        <v>0</v>
      </c>
      <c r="J45" s="302">
        <v>0</v>
      </c>
      <c r="K45" s="302">
        <v>0</v>
      </c>
      <c r="L45" s="302">
        <v>0</v>
      </c>
      <c r="M45" s="302">
        <v>0</v>
      </c>
      <c r="N45" s="302">
        <v>0</v>
      </c>
      <c r="O45" s="302">
        <v>0</v>
      </c>
      <c r="P45" s="130">
        <f t="shared" si="0"/>
        <v>5829</v>
      </c>
    </row>
    <row r="46" spans="1:16" s="9" customFormat="1" ht="9" customHeight="1">
      <c r="A46" s="579"/>
      <c r="B46" s="606" t="s">
        <v>18</v>
      </c>
      <c r="C46" s="319" t="s">
        <v>94</v>
      </c>
      <c r="D46" s="353">
        <v>0</v>
      </c>
      <c r="E46" s="198">
        <v>0</v>
      </c>
      <c r="F46" s="144">
        <v>908</v>
      </c>
      <c r="G46" s="144">
        <v>275</v>
      </c>
      <c r="H46" s="144">
        <v>622</v>
      </c>
      <c r="I46" s="144">
        <v>243</v>
      </c>
      <c r="J46" s="144">
        <v>121</v>
      </c>
      <c r="K46" s="144">
        <v>810</v>
      </c>
      <c r="L46" s="199">
        <v>39</v>
      </c>
      <c r="M46" s="199">
        <v>0</v>
      </c>
      <c r="N46" s="199">
        <v>3</v>
      </c>
      <c r="O46" s="199">
        <v>0</v>
      </c>
      <c r="P46" s="346">
        <f t="shared" si="0"/>
        <v>3021</v>
      </c>
    </row>
    <row r="47" spans="1:16" s="9" customFormat="1" ht="9" customHeight="1" thickBot="1">
      <c r="A47" s="579"/>
      <c r="B47" s="606"/>
      <c r="C47" s="321" t="s">
        <v>450</v>
      </c>
      <c r="D47" s="365">
        <v>0</v>
      </c>
      <c r="E47" s="302">
        <v>0</v>
      </c>
      <c r="F47" s="302">
        <v>91839</v>
      </c>
      <c r="G47" s="302">
        <v>27830</v>
      </c>
      <c r="H47" s="302">
        <v>62952</v>
      </c>
      <c r="I47" s="302">
        <v>24793</v>
      </c>
      <c r="J47" s="302">
        <v>12263</v>
      </c>
      <c r="K47" s="302">
        <v>81635</v>
      </c>
      <c r="L47" s="302">
        <v>3929</v>
      </c>
      <c r="M47" s="302">
        <v>0</v>
      </c>
      <c r="N47" s="302">
        <v>268</v>
      </c>
      <c r="O47" s="302">
        <v>0</v>
      </c>
      <c r="P47" s="130">
        <f t="shared" si="0"/>
        <v>305509</v>
      </c>
    </row>
    <row r="48" spans="1:16" s="9" customFormat="1" ht="9" customHeight="1">
      <c r="A48" s="579"/>
      <c r="B48" s="606" t="s">
        <v>19</v>
      </c>
      <c r="C48" s="319" t="s">
        <v>94</v>
      </c>
      <c r="D48" s="353">
        <v>0</v>
      </c>
      <c r="E48" s="198">
        <v>0</v>
      </c>
      <c r="F48" s="144">
        <v>0</v>
      </c>
      <c r="G48" s="144">
        <v>35</v>
      </c>
      <c r="H48" s="144">
        <v>29</v>
      </c>
      <c r="I48" s="144">
        <v>89</v>
      </c>
      <c r="J48" s="144">
        <v>76</v>
      </c>
      <c r="K48" s="144">
        <v>893</v>
      </c>
      <c r="L48" s="199">
        <v>24</v>
      </c>
      <c r="M48" s="199">
        <v>0</v>
      </c>
      <c r="N48" s="199">
        <v>10</v>
      </c>
      <c r="O48" s="199">
        <v>0</v>
      </c>
      <c r="P48" s="346">
        <f t="shared" si="0"/>
        <v>1156</v>
      </c>
    </row>
    <row r="49" spans="1:16" s="9" customFormat="1" ht="9" customHeight="1" thickBot="1">
      <c r="A49" s="580"/>
      <c r="B49" s="599"/>
      <c r="C49" s="321" t="s">
        <v>450</v>
      </c>
      <c r="D49" s="365">
        <v>0</v>
      </c>
      <c r="E49" s="302">
        <v>0</v>
      </c>
      <c r="F49" s="302">
        <v>0</v>
      </c>
      <c r="G49" s="302">
        <v>3583</v>
      </c>
      <c r="H49" s="302">
        <v>2892</v>
      </c>
      <c r="I49" s="302">
        <v>9026</v>
      </c>
      <c r="J49" s="302">
        <v>7680</v>
      </c>
      <c r="K49" s="302">
        <v>90722</v>
      </c>
      <c r="L49" s="302">
        <v>2421</v>
      </c>
      <c r="M49" s="302">
        <v>0</v>
      </c>
      <c r="N49" s="302">
        <v>1058</v>
      </c>
      <c r="O49" s="302">
        <v>0</v>
      </c>
      <c r="P49" s="130">
        <f t="shared" si="0"/>
        <v>117382</v>
      </c>
    </row>
    <row r="50" spans="1:16" s="9" customFormat="1" ht="9" customHeight="1">
      <c r="A50" s="289"/>
      <c r="B50" s="290"/>
      <c r="C50" s="380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8"/>
      <c r="P50" s="379"/>
    </row>
    <row r="51" spans="1:16" s="9" customFormat="1" ht="9" customHeight="1">
      <c r="A51" s="289"/>
      <c r="B51" s="290"/>
      <c r="C51" s="380"/>
      <c r="D51" s="378"/>
      <c r="E51" s="378"/>
      <c r="F51" s="378"/>
      <c r="G51" s="378"/>
      <c r="H51" s="378"/>
      <c r="I51" s="378"/>
      <c r="J51" s="378"/>
      <c r="K51" s="378"/>
      <c r="L51" s="378"/>
      <c r="M51" s="378"/>
      <c r="N51" s="378"/>
      <c r="O51" s="378"/>
      <c r="P51" s="379"/>
    </row>
    <row r="52" spans="1:16" s="9" customFormat="1" ht="9" customHeight="1">
      <c r="A52" s="289"/>
      <c r="B52" s="290"/>
      <c r="C52" s="380"/>
      <c r="D52" s="378"/>
      <c r="E52" s="378"/>
      <c r="F52" s="378"/>
      <c r="G52" s="378"/>
      <c r="H52" s="378"/>
      <c r="I52" s="378"/>
      <c r="J52" s="378"/>
      <c r="K52" s="378"/>
      <c r="L52" s="378"/>
      <c r="M52" s="378"/>
      <c r="N52" s="378"/>
      <c r="O52" s="378"/>
      <c r="P52" s="379"/>
    </row>
    <row r="53" spans="1:16" s="9" customFormat="1" ht="9" customHeight="1">
      <c r="A53" s="289"/>
      <c r="B53" s="290"/>
      <c r="C53" s="380"/>
      <c r="D53" s="378"/>
      <c r="E53" s="378"/>
      <c r="F53" s="378"/>
      <c r="G53" s="378"/>
      <c r="H53" s="378"/>
      <c r="I53" s="378"/>
      <c r="J53" s="378"/>
      <c r="K53" s="378"/>
      <c r="L53" s="378"/>
      <c r="M53" s="378"/>
      <c r="N53" s="378"/>
      <c r="O53" s="378"/>
      <c r="P53" s="379"/>
    </row>
    <row r="54" spans="1:23" ht="19.5" customHeight="1">
      <c r="A54" s="514" t="s">
        <v>470</v>
      </c>
      <c r="B54" s="514"/>
      <c r="C54" s="514"/>
      <c r="D54" s="514"/>
      <c r="E54" s="514"/>
      <c r="F54" s="514"/>
      <c r="G54" s="514"/>
      <c r="H54" s="514"/>
      <c r="I54" s="514"/>
      <c r="J54" s="514"/>
      <c r="K54" s="514"/>
      <c r="L54" s="514"/>
      <c r="M54" s="514"/>
      <c r="N54" s="514"/>
      <c r="O54" s="514"/>
      <c r="P54" s="36"/>
      <c r="Q54" s="36"/>
      <c r="R54" s="36"/>
      <c r="S54" s="36"/>
      <c r="T54" s="36"/>
      <c r="U54" s="36"/>
      <c r="V54" s="36"/>
      <c r="W54" s="36"/>
    </row>
    <row r="55" spans="1:23" ht="12.75">
      <c r="A55" s="14" t="s">
        <v>189</v>
      </c>
      <c r="M55" s="21"/>
      <c r="N55" s="13"/>
      <c r="O55" s="13"/>
      <c r="P55" s="35"/>
      <c r="Q55" s="2"/>
      <c r="R55" s="2"/>
      <c r="S55" s="2"/>
      <c r="T55" s="2"/>
      <c r="U55" s="2"/>
      <c r="V55" s="2"/>
      <c r="W55" s="2"/>
    </row>
    <row r="56" spans="1:23" ht="6.75" customHeight="1" thickBot="1">
      <c r="A56" s="14"/>
      <c r="M56" s="21"/>
      <c r="N56" s="13"/>
      <c r="O56" s="13"/>
      <c r="P56" s="35"/>
      <c r="Q56" s="2"/>
      <c r="R56" s="2"/>
      <c r="S56" s="2"/>
      <c r="T56" s="2"/>
      <c r="U56" s="2"/>
      <c r="V56" s="2"/>
      <c r="W56" s="2"/>
    </row>
    <row r="57" spans="1:23" ht="13.5" thickBot="1">
      <c r="A57" s="14"/>
      <c r="D57" s="458">
        <v>2008</v>
      </c>
      <c r="E57" s="458"/>
      <c r="F57" s="458"/>
      <c r="G57" s="458"/>
      <c r="H57" s="458"/>
      <c r="I57" s="458"/>
      <c r="J57" s="458"/>
      <c r="K57" s="458"/>
      <c r="L57" s="458"/>
      <c r="M57" s="458"/>
      <c r="N57" s="458"/>
      <c r="O57" s="458"/>
      <c r="P57" s="458"/>
      <c r="Q57" s="2"/>
      <c r="R57" s="2"/>
      <c r="S57" s="2"/>
      <c r="T57" s="2"/>
      <c r="U57" s="2"/>
      <c r="V57" s="2"/>
      <c r="W57" s="2"/>
    </row>
    <row r="58" spans="1:16" ht="48" thickBot="1">
      <c r="A58" s="148" t="s">
        <v>227</v>
      </c>
      <c r="B58" s="148" t="s">
        <v>228</v>
      </c>
      <c r="C58" s="315" t="s">
        <v>236</v>
      </c>
      <c r="D58" s="67" t="s">
        <v>304</v>
      </c>
      <c r="E58" s="67" t="s">
        <v>305</v>
      </c>
      <c r="F58" s="67" t="s">
        <v>306</v>
      </c>
      <c r="G58" s="67" t="s">
        <v>307</v>
      </c>
      <c r="H58" s="67" t="s">
        <v>308</v>
      </c>
      <c r="I58" s="67" t="s">
        <v>309</v>
      </c>
      <c r="J58" s="67" t="s">
        <v>310</v>
      </c>
      <c r="K58" s="67" t="s">
        <v>311</v>
      </c>
      <c r="L58" s="67" t="s">
        <v>312</v>
      </c>
      <c r="M58" s="67" t="s">
        <v>313</v>
      </c>
      <c r="N58" s="67" t="s">
        <v>314</v>
      </c>
      <c r="O58" s="67" t="s">
        <v>315</v>
      </c>
      <c r="P58" s="373" t="s">
        <v>389</v>
      </c>
    </row>
    <row r="59" spans="1:16" s="9" customFormat="1" ht="12.75" customHeight="1">
      <c r="A59" s="575" t="s">
        <v>195</v>
      </c>
      <c r="B59" s="598" t="s">
        <v>469</v>
      </c>
      <c r="C59" s="319" t="s">
        <v>94</v>
      </c>
      <c r="D59" s="353">
        <v>0</v>
      </c>
      <c r="E59" s="198">
        <v>0</v>
      </c>
      <c r="F59" s="144">
        <v>222</v>
      </c>
      <c r="G59" s="144">
        <v>36715</v>
      </c>
      <c r="H59" s="144">
        <v>0</v>
      </c>
      <c r="I59" s="144">
        <v>0</v>
      </c>
      <c r="J59" s="144">
        <v>137</v>
      </c>
      <c r="K59" s="144">
        <v>26688</v>
      </c>
      <c r="L59" s="199">
        <v>19107</v>
      </c>
      <c r="M59" s="199">
        <v>12004</v>
      </c>
      <c r="N59" s="199">
        <v>273</v>
      </c>
      <c r="O59" s="199">
        <v>15055</v>
      </c>
      <c r="P59" s="346">
        <f t="shared" si="0"/>
        <v>110201</v>
      </c>
    </row>
    <row r="60" spans="1:16" s="9" customFormat="1" ht="12.75" customHeight="1" thickBot="1">
      <c r="A60" s="576"/>
      <c r="B60" s="606"/>
      <c r="C60" s="321" t="s">
        <v>450</v>
      </c>
      <c r="D60" s="365">
        <v>0</v>
      </c>
      <c r="E60" s="302">
        <v>0</v>
      </c>
      <c r="F60" s="302">
        <v>333</v>
      </c>
      <c r="G60" s="302">
        <v>60580</v>
      </c>
      <c r="H60" s="302">
        <v>0</v>
      </c>
      <c r="I60" s="302">
        <v>0</v>
      </c>
      <c r="J60" s="302">
        <v>226</v>
      </c>
      <c r="K60" s="302">
        <v>44494</v>
      </c>
      <c r="L60" s="302">
        <v>35358</v>
      </c>
      <c r="M60" s="302">
        <v>23870</v>
      </c>
      <c r="N60" s="302">
        <v>508</v>
      </c>
      <c r="O60" s="302">
        <v>31616</v>
      </c>
      <c r="P60" s="130">
        <f t="shared" si="0"/>
        <v>196985</v>
      </c>
    </row>
    <row r="61" spans="1:16" s="9" customFormat="1" ht="12.75" customHeight="1">
      <c r="A61" s="576"/>
      <c r="B61" s="606" t="s">
        <v>281</v>
      </c>
      <c r="C61" s="319" t="s">
        <v>94</v>
      </c>
      <c r="D61" s="353">
        <v>1552</v>
      </c>
      <c r="E61" s="198">
        <v>794</v>
      </c>
      <c r="F61" s="144">
        <v>897</v>
      </c>
      <c r="G61" s="144">
        <v>1517</v>
      </c>
      <c r="H61" s="144">
        <v>3933</v>
      </c>
      <c r="I61" s="144">
        <v>2030</v>
      </c>
      <c r="J61" s="144">
        <v>960</v>
      </c>
      <c r="K61" s="144">
        <v>158</v>
      </c>
      <c r="L61" s="199">
        <v>366</v>
      </c>
      <c r="M61" s="199">
        <v>304</v>
      </c>
      <c r="N61" s="199">
        <v>857</v>
      </c>
      <c r="O61" s="199">
        <v>471</v>
      </c>
      <c r="P61" s="346">
        <f t="shared" si="0"/>
        <v>13839</v>
      </c>
    </row>
    <row r="62" spans="1:16" s="9" customFormat="1" ht="12.75" customHeight="1" thickBot="1">
      <c r="A62" s="576"/>
      <c r="B62" s="606"/>
      <c r="C62" s="321" t="s">
        <v>450</v>
      </c>
      <c r="D62" s="365">
        <v>30775</v>
      </c>
      <c r="E62" s="302">
        <v>15668</v>
      </c>
      <c r="F62" s="302">
        <v>17702</v>
      </c>
      <c r="G62" s="302">
        <v>29897</v>
      </c>
      <c r="H62" s="302">
        <v>84116</v>
      </c>
      <c r="I62" s="302">
        <v>44198</v>
      </c>
      <c r="J62" s="302">
        <v>20819</v>
      </c>
      <c r="K62" s="302">
        <v>3169</v>
      </c>
      <c r="L62" s="302">
        <v>6684</v>
      </c>
      <c r="M62" s="302">
        <v>4829</v>
      </c>
      <c r="N62" s="302">
        <v>12913</v>
      </c>
      <c r="O62" s="302">
        <v>7227</v>
      </c>
      <c r="P62" s="130">
        <f t="shared" si="0"/>
        <v>277997</v>
      </c>
    </row>
    <row r="63" spans="1:16" s="9" customFormat="1" ht="12.75" customHeight="1">
      <c r="A63" s="576"/>
      <c r="B63" s="606" t="s">
        <v>196</v>
      </c>
      <c r="C63" s="319" t="s">
        <v>94</v>
      </c>
      <c r="D63" s="353">
        <v>0</v>
      </c>
      <c r="E63" s="198">
        <v>150</v>
      </c>
      <c r="F63" s="144">
        <v>0</v>
      </c>
      <c r="G63" s="144">
        <v>0</v>
      </c>
      <c r="H63" s="144">
        <v>6995</v>
      </c>
      <c r="I63" s="144">
        <v>571</v>
      </c>
      <c r="J63" s="144">
        <v>136</v>
      </c>
      <c r="K63" s="144">
        <v>0</v>
      </c>
      <c r="L63" s="199">
        <v>24</v>
      </c>
      <c r="M63" s="199">
        <v>830</v>
      </c>
      <c r="N63" s="199">
        <v>0</v>
      </c>
      <c r="O63" s="199">
        <v>2177</v>
      </c>
      <c r="P63" s="346">
        <f t="shared" si="0"/>
        <v>10883</v>
      </c>
    </row>
    <row r="64" spans="1:16" s="9" customFormat="1" ht="12.75" customHeight="1" thickBot="1">
      <c r="A64" s="576"/>
      <c r="B64" s="606"/>
      <c r="C64" s="321" t="s">
        <v>450</v>
      </c>
      <c r="D64" s="365">
        <v>0</v>
      </c>
      <c r="E64" s="302">
        <v>285</v>
      </c>
      <c r="F64" s="302">
        <v>0</v>
      </c>
      <c r="G64" s="302">
        <v>0</v>
      </c>
      <c r="H64" s="302">
        <v>13412</v>
      </c>
      <c r="I64" s="302">
        <v>1178</v>
      </c>
      <c r="J64" s="302">
        <v>293</v>
      </c>
      <c r="K64" s="302">
        <v>0</v>
      </c>
      <c r="L64" s="302">
        <v>45</v>
      </c>
      <c r="M64" s="302">
        <v>1643</v>
      </c>
      <c r="N64" s="302">
        <v>0</v>
      </c>
      <c r="O64" s="302">
        <v>4452</v>
      </c>
      <c r="P64" s="130">
        <f t="shared" si="0"/>
        <v>21308</v>
      </c>
    </row>
    <row r="65" spans="1:16" s="9" customFormat="1" ht="12.75" customHeight="1">
      <c r="A65" s="576"/>
      <c r="B65" s="606" t="s">
        <v>250</v>
      </c>
      <c r="C65" s="319" t="s">
        <v>94</v>
      </c>
      <c r="D65" s="353">
        <v>0</v>
      </c>
      <c r="E65" s="198">
        <v>0</v>
      </c>
      <c r="F65" s="198">
        <v>0</v>
      </c>
      <c r="G65" s="198">
        <v>0</v>
      </c>
      <c r="H65" s="144">
        <v>0</v>
      </c>
      <c r="I65" s="144">
        <v>238</v>
      </c>
      <c r="J65" s="144">
        <v>0</v>
      </c>
      <c r="K65" s="144">
        <v>0</v>
      </c>
      <c r="L65" s="144">
        <v>0</v>
      </c>
      <c r="M65" s="144">
        <v>0</v>
      </c>
      <c r="N65" s="144">
        <v>0</v>
      </c>
      <c r="O65" s="199">
        <v>0</v>
      </c>
      <c r="P65" s="346">
        <f t="shared" si="0"/>
        <v>238</v>
      </c>
    </row>
    <row r="66" spans="1:16" s="9" customFormat="1" ht="12.75" customHeight="1" thickBot="1">
      <c r="A66" s="576"/>
      <c r="B66" s="606"/>
      <c r="C66" s="321" t="s">
        <v>450</v>
      </c>
      <c r="D66" s="365">
        <v>0</v>
      </c>
      <c r="E66" s="302">
        <v>0</v>
      </c>
      <c r="F66" s="302">
        <v>0</v>
      </c>
      <c r="G66" s="302">
        <v>0</v>
      </c>
      <c r="H66" s="302">
        <v>0</v>
      </c>
      <c r="I66" s="302">
        <v>452</v>
      </c>
      <c r="J66" s="302">
        <v>0</v>
      </c>
      <c r="K66" s="302">
        <v>0</v>
      </c>
      <c r="L66" s="302">
        <v>0</v>
      </c>
      <c r="M66" s="302">
        <v>0</v>
      </c>
      <c r="N66" s="302">
        <v>0</v>
      </c>
      <c r="O66" s="302">
        <v>0</v>
      </c>
      <c r="P66" s="130">
        <f t="shared" si="0"/>
        <v>452</v>
      </c>
    </row>
    <row r="67" spans="1:16" s="9" customFormat="1" ht="12.75" customHeight="1">
      <c r="A67" s="576"/>
      <c r="B67" s="606" t="s">
        <v>249</v>
      </c>
      <c r="C67" s="319" t="s">
        <v>94</v>
      </c>
      <c r="D67" s="353">
        <v>0</v>
      </c>
      <c r="E67" s="198">
        <v>0</v>
      </c>
      <c r="F67" s="198">
        <v>0</v>
      </c>
      <c r="G67" s="198">
        <v>0</v>
      </c>
      <c r="H67" s="198">
        <v>0</v>
      </c>
      <c r="I67" s="198">
        <v>0</v>
      </c>
      <c r="J67" s="198">
        <v>0</v>
      </c>
      <c r="K67" s="198">
        <v>0</v>
      </c>
      <c r="L67" s="198">
        <v>0</v>
      </c>
      <c r="M67" s="198">
        <v>0</v>
      </c>
      <c r="N67" s="198">
        <v>0</v>
      </c>
      <c r="O67" s="199">
        <v>0</v>
      </c>
      <c r="P67" s="346">
        <f t="shared" si="0"/>
        <v>0</v>
      </c>
    </row>
    <row r="68" spans="1:16" s="9" customFormat="1" ht="12.75" customHeight="1" thickBot="1">
      <c r="A68" s="576"/>
      <c r="B68" s="606"/>
      <c r="C68" s="321" t="s">
        <v>450</v>
      </c>
      <c r="D68" s="365">
        <v>0</v>
      </c>
      <c r="E68" s="302">
        <v>0</v>
      </c>
      <c r="F68" s="302">
        <v>0</v>
      </c>
      <c r="G68" s="302">
        <v>0</v>
      </c>
      <c r="H68" s="302">
        <v>0</v>
      </c>
      <c r="I68" s="302">
        <v>0</v>
      </c>
      <c r="J68" s="302">
        <v>0</v>
      </c>
      <c r="K68" s="302">
        <v>0</v>
      </c>
      <c r="L68" s="302">
        <v>0</v>
      </c>
      <c r="M68" s="302">
        <v>0</v>
      </c>
      <c r="N68" s="302">
        <v>0</v>
      </c>
      <c r="O68" s="302">
        <v>0</v>
      </c>
      <c r="P68" s="130">
        <f t="shared" si="0"/>
        <v>0</v>
      </c>
    </row>
    <row r="69" spans="1:16" s="9" customFormat="1" ht="12.75" customHeight="1">
      <c r="A69" s="576"/>
      <c r="B69" s="606" t="s">
        <v>210</v>
      </c>
      <c r="C69" s="319" t="s">
        <v>94</v>
      </c>
      <c r="D69" s="353">
        <v>0</v>
      </c>
      <c r="E69" s="198">
        <v>0</v>
      </c>
      <c r="F69" s="198">
        <v>0</v>
      </c>
      <c r="G69" s="198">
        <v>0</v>
      </c>
      <c r="H69" s="198">
        <v>0</v>
      </c>
      <c r="I69" s="198">
        <v>0</v>
      </c>
      <c r="J69" s="198">
        <v>0</v>
      </c>
      <c r="K69" s="198">
        <v>0</v>
      </c>
      <c r="L69" s="198">
        <v>0</v>
      </c>
      <c r="M69" s="198">
        <v>0</v>
      </c>
      <c r="N69" s="198">
        <v>0</v>
      </c>
      <c r="O69" s="199">
        <v>13765</v>
      </c>
      <c r="P69" s="346">
        <f t="shared" si="0"/>
        <v>13765</v>
      </c>
    </row>
    <row r="70" spans="1:16" s="9" customFormat="1" ht="12.75" customHeight="1" thickBot="1">
      <c r="A70" s="577"/>
      <c r="B70" s="599"/>
      <c r="C70" s="321" t="s">
        <v>450</v>
      </c>
      <c r="D70" s="365">
        <v>0</v>
      </c>
      <c r="E70" s="302">
        <v>0</v>
      </c>
      <c r="F70" s="302">
        <v>0</v>
      </c>
      <c r="G70" s="302">
        <v>0</v>
      </c>
      <c r="H70" s="302">
        <v>0</v>
      </c>
      <c r="I70" s="302">
        <v>0</v>
      </c>
      <c r="J70" s="302">
        <v>0</v>
      </c>
      <c r="K70" s="302">
        <v>0</v>
      </c>
      <c r="L70" s="302">
        <v>0</v>
      </c>
      <c r="M70" s="302">
        <v>0</v>
      </c>
      <c r="N70" s="302">
        <v>0</v>
      </c>
      <c r="O70" s="302">
        <v>1514</v>
      </c>
      <c r="P70" s="130">
        <f t="shared" si="0"/>
        <v>1514</v>
      </c>
    </row>
    <row r="71" spans="1:16" s="9" customFormat="1" ht="12.75" customHeight="1">
      <c r="A71" s="575" t="s">
        <v>200</v>
      </c>
      <c r="B71" s="598" t="s">
        <v>289</v>
      </c>
      <c r="C71" s="319" t="s">
        <v>94</v>
      </c>
      <c r="D71" s="353">
        <v>20</v>
      </c>
      <c r="E71" s="198">
        <v>108</v>
      </c>
      <c r="F71" s="144">
        <v>196</v>
      </c>
      <c r="G71" s="144">
        <v>20</v>
      </c>
      <c r="H71" s="144">
        <v>4</v>
      </c>
      <c r="I71" s="144">
        <v>0</v>
      </c>
      <c r="J71" s="144">
        <v>23</v>
      </c>
      <c r="K71" s="144">
        <v>0</v>
      </c>
      <c r="L71" s="144">
        <v>0</v>
      </c>
      <c r="M71" s="144">
        <v>0</v>
      </c>
      <c r="N71" s="144">
        <v>0</v>
      </c>
      <c r="O71" s="144">
        <v>0</v>
      </c>
      <c r="P71" s="346">
        <f t="shared" si="0"/>
        <v>371</v>
      </c>
    </row>
    <row r="72" spans="1:16" s="9" customFormat="1" ht="12.75" customHeight="1" thickBot="1">
      <c r="A72" s="576"/>
      <c r="B72" s="606"/>
      <c r="C72" s="321" t="s">
        <v>450</v>
      </c>
      <c r="D72" s="365">
        <v>2044</v>
      </c>
      <c r="E72" s="302">
        <v>10985</v>
      </c>
      <c r="F72" s="302">
        <v>20037</v>
      </c>
      <c r="G72" s="302">
        <v>2008</v>
      </c>
      <c r="H72" s="302">
        <v>370</v>
      </c>
      <c r="I72" s="302">
        <v>0</v>
      </c>
      <c r="J72" s="302">
        <v>2398</v>
      </c>
      <c r="K72" s="302">
        <v>0</v>
      </c>
      <c r="L72" s="302">
        <v>0</v>
      </c>
      <c r="M72" s="302">
        <v>0</v>
      </c>
      <c r="N72" s="302">
        <v>0</v>
      </c>
      <c r="O72" s="302">
        <v>0</v>
      </c>
      <c r="P72" s="130">
        <f t="shared" si="0"/>
        <v>37842</v>
      </c>
    </row>
    <row r="73" spans="1:16" s="9" customFormat="1" ht="12.75" customHeight="1">
      <c r="A73" s="576"/>
      <c r="B73" s="606" t="s">
        <v>292</v>
      </c>
      <c r="C73" s="319" t="s">
        <v>94</v>
      </c>
      <c r="D73" s="353">
        <v>92</v>
      </c>
      <c r="E73" s="198">
        <v>485</v>
      </c>
      <c r="F73" s="144">
        <v>450</v>
      </c>
      <c r="G73" s="144">
        <v>82</v>
      </c>
      <c r="H73" s="144">
        <v>16</v>
      </c>
      <c r="I73" s="144">
        <v>93</v>
      </c>
      <c r="J73" s="144">
        <v>65</v>
      </c>
      <c r="K73" s="144">
        <v>220</v>
      </c>
      <c r="L73" s="359">
        <v>0</v>
      </c>
      <c r="M73" s="359">
        <v>0</v>
      </c>
      <c r="N73" s="359">
        <v>13</v>
      </c>
      <c r="O73" s="359">
        <v>0</v>
      </c>
      <c r="P73" s="346">
        <f t="shared" si="0"/>
        <v>1516</v>
      </c>
    </row>
    <row r="74" spans="1:16" s="9" customFormat="1" ht="12.75" customHeight="1" thickBot="1">
      <c r="A74" s="576"/>
      <c r="B74" s="606"/>
      <c r="C74" s="321" t="s">
        <v>450</v>
      </c>
      <c r="D74" s="365">
        <v>9206</v>
      </c>
      <c r="E74" s="302">
        <v>48711</v>
      </c>
      <c r="F74" s="302">
        <v>45214</v>
      </c>
      <c r="G74" s="302">
        <v>8223</v>
      </c>
      <c r="H74" s="302">
        <v>1595</v>
      </c>
      <c r="I74" s="302">
        <v>9679</v>
      </c>
      <c r="J74" s="302">
        <v>6793</v>
      </c>
      <c r="K74" s="302">
        <v>22363</v>
      </c>
      <c r="L74" s="302">
        <v>0</v>
      </c>
      <c r="M74" s="302">
        <v>0</v>
      </c>
      <c r="N74" s="302">
        <v>1253</v>
      </c>
      <c r="O74" s="302">
        <v>0</v>
      </c>
      <c r="P74" s="130">
        <f t="shared" si="0"/>
        <v>153037</v>
      </c>
    </row>
    <row r="75" spans="1:16" s="9" customFormat="1" ht="12.75" customHeight="1">
      <c r="A75" s="576"/>
      <c r="B75" s="606" t="s">
        <v>290</v>
      </c>
      <c r="C75" s="319" t="s">
        <v>94</v>
      </c>
      <c r="D75" s="353">
        <v>0</v>
      </c>
      <c r="E75" s="198">
        <v>90</v>
      </c>
      <c r="F75" s="198">
        <v>11</v>
      </c>
      <c r="G75" s="198">
        <v>4</v>
      </c>
      <c r="H75" s="198">
        <v>11</v>
      </c>
      <c r="I75" s="198">
        <v>0</v>
      </c>
      <c r="J75" s="376">
        <v>3</v>
      </c>
      <c r="K75" s="376">
        <v>259</v>
      </c>
      <c r="L75" s="376">
        <v>213</v>
      </c>
      <c r="M75" s="376">
        <v>0</v>
      </c>
      <c r="N75" s="376">
        <v>1</v>
      </c>
      <c r="O75" s="359">
        <v>0</v>
      </c>
      <c r="P75" s="346">
        <f t="shared" si="0"/>
        <v>592</v>
      </c>
    </row>
    <row r="76" spans="1:16" s="9" customFormat="1" ht="12.75" customHeight="1" thickBot="1">
      <c r="A76" s="576"/>
      <c r="B76" s="606"/>
      <c r="C76" s="321" t="s">
        <v>450</v>
      </c>
      <c r="D76" s="365">
        <v>0</v>
      </c>
      <c r="E76" s="302">
        <f>9163170/1507.5</f>
        <v>6078.388059701492</v>
      </c>
      <c r="F76" s="302">
        <f>1153333/1507.5</f>
        <v>765.0633499170813</v>
      </c>
      <c r="G76" s="302">
        <f>456720/1507.5</f>
        <v>302.9651741293532</v>
      </c>
      <c r="H76" s="302">
        <f>1094737/1507.5</f>
        <v>726.1936981757877</v>
      </c>
      <c r="I76" s="302">
        <v>0</v>
      </c>
      <c r="J76" s="302">
        <f>318000/1507.5</f>
        <v>210.9452736318408</v>
      </c>
      <c r="K76" s="302">
        <f>26662385/1507.5</f>
        <v>17686.49087893864</v>
      </c>
      <c r="L76" s="302">
        <f>22101071/1507.5</f>
        <v>14660.743615257048</v>
      </c>
      <c r="M76" s="302">
        <v>0</v>
      </c>
      <c r="N76" s="302">
        <f>52650/1507.5</f>
        <v>34.92537313432836</v>
      </c>
      <c r="O76" s="302">
        <v>0</v>
      </c>
      <c r="P76" s="130">
        <f t="shared" si="0"/>
        <v>40465.71542288557</v>
      </c>
    </row>
    <row r="77" spans="1:16" s="9" customFormat="1" ht="12.75" customHeight="1">
      <c r="A77" s="576"/>
      <c r="B77" s="606" t="s">
        <v>291</v>
      </c>
      <c r="C77" s="319" t="s">
        <v>94</v>
      </c>
      <c r="D77" s="353">
        <v>190</v>
      </c>
      <c r="E77" s="198">
        <v>311</v>
      </c>
      <c r="F77" s="198">
        <v>211</v>
      </c>
      <c r="G77" s="198">
        <v>4</v>
      </c>
      <c r="H77" s="198">
        <v>105</v>
      </c>
      <c r="I77" s="198">
        <v>9</v>
      </c>
      <c r="J77" s="376">
        <v>28</v>
      </c>
      <c r="K77" s="376">
        <v>6</v>
      </c>
      <c r="L77" s="376">
        <v>73</v>
      </c>
      <c r="M77" s="376">
        <v>0</v>
      </c>
      <c r="N77" s="376">
        <v>74</v>
      </c>
      <c r="O77" s="359">
        <v>1</v>
      </c>
      <c r="P77" s="346">
        <f t="shared" si="0"/>
        <v>1012</v>
      </c>
    </row>
    <row r="78" spans="1:16" s="9" customFormat="1" ht="12.75" customHeight="1" thickBot="1">
      <c r="A78" s="577"/>
      <c r="B78" s="599"/>
      <c r="C78" s="321" t="s">
        <v>450</v>
      </c>
      <c r="D78" s="365">
        <f>20857143/1507.5</f>
        <v>13835.58407960199</v>
      </c>
      <c r="E78" s="302">
        <f>31676375/1507.5</f>
        <v>21012.520729684908</v>
      </c>
      <c r="F78" s="302">
        <f>21563778/1507.5</f>
        <v>14304.330348258707</v>
      </c>
      <c r="G78" s="302">
        <f>364125/1507.5</f>
        <v>241.54228855721394</v>
      </c>
      <c r="H78" s="302">
        <f>11092105/1507.5</f>
        <v>7357.946932006634</v>
      </c>
      <c r="I78" s="302">
        <f>917614/1507.5</f>
        <v>608.6991708126036</v>
      </c>
      <c r="J78" s="302">
        <f>3031250/1507.5</f>
        <v>2010.7794361525705</v>
      </c>
      <c r="K78" s="302">
        <f>617250/1507.5</f>
        <v>409.452736318408</v>
      </c>
      <c r="L78" s="302">
        <f>7936786/1507.5</f>
        <v>5264.866334991708</v>
      </c>
      <c r="M78" s="302">
        <v>0</v>
      </c>
      <c r="N78" s="302">
        <f>8266575/1507.5</f>
        <v>5483.63184079602</v>
      </c>
      <c r="O78" s="302">
        <f>132000/1507.5</f>
        <v>87.56218905472637</v>
      </c>
      <c r="P78" s="130">
        <f t="shared" si="0"/>
        <v>70616.91608623549</v>
      </c>
    </row>
    <row r="79" spans="1:16" ht="12.75" customHeight="1" thickBot="1">
      <c r="A79" s="510" t="s">
        <v>258</v>
      </c>
      <c r="B79" s="604"/>
      <c r="C79" s="371" t="s">
        <v>94</v>
      </c>
      <c r="D79" s="360">
        <f aca="true" t="shared" si="1" ref="D79:O79">D6+D8+D10+D12+D14+D16+D18+D20+D22+D24+D26+D28+D30+D32+D34+D36+D38+D40+D42+D44+D46+D48+D59+D61+D63+D65+D67+D69+D71+D73+D75+D77</f>
        <v>203438</v>
      </c>
      <c r="E79" s="361">
        <f t="shared" si="1"/>
        <v>119899</v>
      </c>
      <c r="F79" s="361">
        <f t="shared" si="1"/>
        <v>134880</v>
      </c>
      <c r="G79" s="361">
        <f t="shared" si="1"/>
        <v>197669</v>
      </c>
      <c r="H79" s="361">
        <f t="shared" si="1"/>
        <v>644967</v>
      </c>
      <c r="I79" s="361">
        <f t="shared" si="1"/>
        <v>250653</v>
      </c>
      <c r="J79" s="361">
        <f t="shared" si="1"/>
        <v>258455</v>
      </c>
      <c r="K79" s="361">
        <f t="shared" si="1"/>
        <v>209911</v>
      </c>
      <c r="L79" s="361">
        <f t="shared" si="1"/>
        <v>2065469</v>
      </c>
      <c r="M79" s="361">
        <f t="shared" si="1"/>
        <v>678665</v>
      </c>
      <c r="N79" s="361">
        <f t="shared" si="1"/>
        <v>204931</v>
      </c>
      <c r="O79" s="361">
        <f t="shared" si="1"/>
        <v>196404</v>
      </c>
      <c r="P79" s="132">
        <f>SUM(D79:O79)</f>
        <v>5165341</v>
      </c>
    </row>
    <row r="80" spans="1:16" ht="12.75" customHeight="1" thickBot="1">
      <c r="A80" s="510" t="s">
        <v>259</v>
      </c>
      <c r="B80" s="604"/>
      <c r="C80" s="377" t="s">
        <v>450</v>
      </c>
      <c r="D80" s="372">
        <f aca="true" t="shared" si="2" ref="D80:O80">D7+D9+D11+D13+D15+D17+D19+D21+D23+D25+D27+D29+D31+D33+D35+D37+D39+D41+D43+D45+D47+D49+D60+D62+D64+D66+D68+D70+D72+D74+D76+D78</f>
        <v>3696247.584079602</v>
      </c>
      <c r="E80" s="132">
        <f t="shared" si="2"/>
        <v>2170758.908789386</v>
      </c>
      <c r="F80" s="132">
        <f t="shared" si="2"/>
        <v>2758039.393698176</v>
      </c>
      <c r="G80" s="132">
        <f t="shared" si="2"/>
        <v>3788742.5074626864</v>
      </c>
      <c r="H80" s="132">
        <f t="shared" si="2"/>
        <v>14515631.140630182</v>
      </c>
      <c r="I80" s="132">
        <f t="shared" si="2"/>
        <v>7956995.699170813</v>
      </c>
      <c r="J80" s="132">
        <f t="shared" si="2"/>
        <v>7708651.724709785</v>
      </c>
      <c r="K80" s="132">
        <f t="shared" si="2"/>
        <v>6510270.943615257</v>
      </c>
      <c r="L80" s="132">
        <f t="shared" si="2"/>
        <v>22847801.609950252</v>
      </c>
      <c r="M80" s="132">
        <f t="shared" si="2"/>
        <v>6171629</v>
      </c>
      <c r="N80" s="132">
        <f t="shared" si="2"/>
        <v>3431847.5572139304</v>
      </c>
      <c r="O80" s="132">
        <f t="shared" si="2"/>
        <v>2423104.5621890547</v>
      </c>
      <c r="P80" s="132">
        <f>P7+P9+P11+P13+P15+P17+P19+P21+P23+P25+P27+P29+P31+P33+P35+P37+P39+P41+P43+P45+P47+P49+P60+P62+P64+P66+P68+P70+P72+P74+P76+P78</f>
        <v>83979720.63150913</v>
      </c>
    </row>
  </sheetData>
  <sheetProtection/>
  <mergeCells count="42">
    <mergeCell ref="A54:O54"/>
    <mergeCell ref="D57:P57"/>
    <mergeCell ref="B38:B39"/>
    <mergeCell ref="B40:B41"/>
    <mergeCell ref="A1:O1"/>
    <mergeCell ref="D4:P4"/>
    <mergeCell ref="A6:A9"/>
    <mergeCell ref="B6:B7"/>
    <mergeCell ref="B8:B9"/>
    <mergeCell ref="A10:A4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75:B76"/>
    <mergeCell ref="B77:B78"/>
    <mergeCell ref="A59:A70"/>
    <mergeCell ref="B59:B60"/>
    <mergeCell ref="B34:B35"/>
    <mergeCell ref="B36:B37"/>
    <mergeCell ref="B42:B43"/>
    <mergeCell ref="B44:B45"/>
    <mergeCell ref="B46:B47"/>
    <mergeCell ref="B48:B49"/>
    <mergeCell ref="B61:B62"/>
    <mergeCell ref="B63:B64"/>
    <mergeCell ref="B65:B66"/>
    <mergeCell ref="B67:B68"/>
    <mergeCell ref="A79:B79"/>
    <mergeCell ref="A80:B80"/>
    <mergeCell ref="B69:B70"/>
    <mergeCell ref="A71:A78"/>
    <mergeCell ref="B71:B72"/>
    <mergeCell ref="B73:B74"/>
  </mergeCells>
  <printOptions horizontalCentered="1"/>
  <pageMargins left="0" right="0" top="0.5" bottom="0" header="0" footer="0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P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140625" style="21" customWidth="1"/>
    <col min="2" max="2" width="15.28125" style="275" customWidth="1"/>
    <col min="3" max="3" width="11.00390625" style="2" customWidth="1"/>
    <col min="4" max="4" width="17.421875" style="2" customWidth="1"/>
    <col min="5" max="5" width="10.140625" style="2" customWidth="1"/>
    <col min="6" max="6" width="10.421875" style="2" customWidth="1"/>
    <col min="7" max="7" width="11.140625" style="2" customWidth="1"/>
    <col min="8" max="8" width="7.7109375" style="2" customWidth="1"/>
    <col min="9" max="9" width="8.00390625" style="2" customWidth="1"/>
    <col min="10" max="16384" width="9.140625" style="5" customWidth="1"/>
  </cols>
  <sheetData>
    <row r="1" spans="1:16" ht="19.5" customHeight="1">
      <c r="A1" s="164" t="s">
        <v>268</v>
      </c>
      <c r="B1" s="164"/>
      <c r="C1" s="164"/>
      <c r="D1" s="164"/>
      <c r="E1" s="164"/>
      <c r="F1" s="164"/>
      <c r="G1" s="164"/>
      <c r="H1" s="164"/>
      <c r="I1" s="164"/>
      <c r="J1" s="36"/>
      <c r="K1" s="36"/>
      <c r="L1" s="36"/>
      <c r="M1" s="36"/>
      <c r="N1" s="36"/>
      <c r="O1" s="36"/>
      <c r="P1" s="36"/>
    </row>
    <row r="2" spans="1:16" ht="12.75">
      <c r="A2" s="14" t="s">
        <v>189</v>
      </c>
      <c r="J2" s="2"/>
      <c r="K2" s="2"/>
      <c r="L2" s="2"/>
      <c r="M2" s="2"/>
      <c r="N2" s="2"/>
      <c r="O2" s="2"/>
      <c r="P2" s="2"/>
    </row>
    <row r="3" spans="1:16" ht="6.75" customHeight="1" thickBot="1">
      <c r="A3" s="14"/>
      <c r="J3" s="2"/>
      <c r="K3" s="2"/>
      <c r="L3" s="2"/>
      <c r="M3" s="2"/>
      <c r="N3" s="2"/>
      <c r="O3" s="2"/>
      <c r="P3" s="2"/>
    </row>
    <row r="4" spans="1:16" ht="13.5" customHeight="1" thickBot="1">
      <c r="A4" s="14"/>
      <c r="C4" s="458">
        <v>2008</v>
      </c>
      <c r="D4" s="458"/>
      <c r="E4" s="458"/>
      <c r="F4" s="458"/>
      <c r="G4" s="458"/>
      <c r="H4" s="458"/>
      <c r="I4" s="458"/>
      <c r="J4" s="2"/>
      <c r="K4" s="2"/>
      <c r="L4" s="2"/>
      <c r="M4" s="2"/>
      <c r="N4" s="2"/>
      <c r="O4" s="2"/>
      <c r="P4" s="2"/>
    </row>
    <row r="5" spans="1:16" ht="13.5" thickBot="1">
      <c r="A5" s="609" t="s">
        <v>227</v>
      </c>
      <c r="B5" s="607" t="s">
        <v>228</v>
      </c>
      <c r="C5" s="511" t="s">
        <v>269</v>
      </c>
      <c r="D5" s="511" t="s">
        <v>270</v>
      </c>
      <c r="E5" s="511" t="s">
        <v>271</v>
      </c>
      <c r="F5" s="511" t="s">
        <v>272</v>
      </c>
      <c r="G5" s="458" t="s">
        <v>274</v>
      </c>
      <c r="H5" s="458"/>
      <c r="I5" s="458"/>
      <c r="J5" s="2"/>
      <c r="K5" s="2"/>
      <c r="L5" s="2"/>
      <c r="M5" s="2"/>
      <c r="N5" s="2"/>
      <c r="O5" s="2"/>
      <c r="P5" s="2"/>
    </row>
    <row r="6" spans="1:9" ht="32.25" thickBot="1">
      <c r="A6" s="610"/>
      <c r="B6" s="608"/>
      <c r="C6" s="511"/>
      <c r="D6" s="511"/>
      <c r="E6" s="511"/>
      <c r="F6" s="511"/>
      <c r="G6" s="148" t="s">
        <v>273</v>
      </c>
      <c r="H6" s="148" t="s">
        <v>275</v>
      </c>
      <c r="I6" s="148" t="s">
        <v>276</v>
      </c>
    </row>
    <row r="7" spans="1:9" ht="22.5" customHeight="1">
      <c r="A7" s="571" t="s">
        <v>277</v>
      </c>
      <c r="B7" s="272" t="s">
        <v>191</v>
      </c>
      <c r="C7" s="297">
        <v>100000</v>
      </c>
      <c r="D7" s="198">
        <v>1654</v>
      </c>
      <c r="E7" s="297">
        <v>850389</v>
      </c>
      <c r="F7" s="297">
        <v>30088</v>
      </c>
      <c r="G7" s="333">
        <v>17.21</v>
      </c>
      <c r="H7" s="333">
        <v>49.72</v>
      </c>
      <c r="I7" s="333">
        <v>28.51</v>
      </c>
    </row>
    <row r="8" spans="1:9" ht="22.5" customHeight="1" thickBot="1">
      <c r="A8" s="572"/>
      <c r="B8" s="396" t="s">
        <v>192</v>
      </c>
      <c r="C8" s="302">
        <v>65000</v>
      </c>
      <c r="D8" s="302">
        <v>1086</v>
      </c>
      <c r="E8" s="302">
        <v>404578</v>
      </c>
      <c r="F8" s="302">
        <v>13836</v>
      </c>
      <c r="G8" s="350">
        <v>11.3</v>
      </c>
      <c r="H8" s="350">
        <v>23.65</v>
      </c>
      <c r="I8" s="350">
        <v>13.11</v>
      </c>
    </row>
    <row r="9" spans="1:9" ht="22.5" customHeight="1" thickBot="1">
      <c r="A9" s="558"/>
      <c r="B9" s="393" t="s">
        <v>278</v>
      </c>
      <c r="C9" s="394">
        <f>SUM(C7:C8)</f>
        <v>165000</v>
      </c>
      <c r="D9" s="394">
        <f aca="true" t="shared" si="0" ref="D9:I9">SUM(D7:D8)</f>
        <v>2740</v>
      </c>
      <c r="E9" s="394">
        <f t="shared" si="0"/>
        <v>1254967</v>
      </c>
      <c r="F9" s="394">
        <f t="shared" si="0"/>
        <v>43924</v>
      </c>
      <c r="G9" s="395">
        <f t="shared" si="0"/>
        <v>28.51</v>
      </c>
      <c r="H9" s="395">
        <f t="shared" si="0"/>
        <v>73.37</v>
      </c>
      <c r="I9" s="395">
        <f t="shared" si="0"/>
        <v>41.620000000000005</v>
      </c>
    </row>
    <row r="10" spans="1:9" s="9" customFormat="1" ht="22.5">
      <c r="A10" s="578" t="s">
        <v>279</v>
      </c>
      <c r="B10" s="272" t="s">
        <v>1</v>
      </c>
      <c r="C10" s="144">
        <v>50900</v>
      </c>
      <c r="D10" s="198">
        <v>97</v>
      </c>
      <c r="E10" s="144">
        <v>55624</v>
      </c>
      <c r="F10" s="144">
        <v>36346</v>
      </c>
      <c r="G10" s="338">
        <v>1.01</v>
      </c>
      <c r="H10" s="338">
        <v>3.25</v>
      </c>
      <c r="I10" s="338">
        <v>34.45</v>
      </c>
    </row>
    <row r="11" spans="1:9" s="9" customFormat="1" ht="11.25">
      <c r="A11" s="611"/>
      <c r="B11" s="274" t="s">
        <v>2</v>
      </c>
      <c r="C11" s="298">
        <v>34189</v>
      </c>
      <c r="D11" s="298">
        <v>1778</v>
      </c>
      <c r="E11" s="298">
        <v>72082</v>
      </c>
      <c r="F11" s="298">
        <v>913</v>
      </c>
      <c r="G11" s="397">
        <v>18.5</v>
      </c>
      <c r="H11" s="397">
        <v>4.21</v>
      </c>
      <c r="I11" s="397">
        <v>0.87</v>
      </c>
    </row>
    <row r="12" spans="1:9" s="9" customFormat="1" ht="11.25">
      <c r="A12" s="611"/>
      <c r="B12" s="274" t="s">
        <v>3</v>
      </c>
      <c r="C12" s="105">
        <v>9830</v>
      </c>
      <c r="D12" s="203">
        <v>525</v>
      </c>
      <c r="E12" s="105">
        <v>103056</v>
      </c>
      <c r="F12" s="105">
        <v>1180</v>
      </c>
      <c r="G12" s="339">
        <v>5.47</v>
      </c>
      <c r="H12" s="339">
        <v>6.03</v>
      </c>
      <c r="I12" s="339">
        <v>1.12</v>
      </c>
    </row>
    <row r="13" spans="1:9" s="9" customFormat="1" ht="22.5">
      <c r="A13" s="611"/>
      <c r="B13" s="274" t="s">
        <v>4</v>
      </c>
      <c r="C13" s="105">
        <v>4000</v>
      </c>
      <c r="D13" s="203">
        <v>101</v>
      </c>
      <c r="E13" s="105">
        <v>3991</v>
      </c>
      <c r="F13" s="105">
        <v>157</v>
      </c>
      <c r="G13" s="339">
        <v>1.05</v>
      </c>
      <c r="H13" s="339">
        <v>0.23</v>
      </c>
      <c r="I13" s="339">
        <v>0.15</v>
      </c>
    </row>
    <row r="14" spans="1:9" s="9" customFormat="1" ht="22.5">
      <c r="A14" s="611"/>
      <c r="B14" s="274" t="s">
        <v>5</v>
      </c>
      <c r="C14" s="105">
        <v>1250</v>
      </c>
      <c r="D14" s="203">
        <v>125</v>
      </c>
      <c r="E14" s="105">
        <v>4914</v>
      </c>
      <c r="F14" s="105">
        <v>48</v>
      </c>
      <c r="G14" s="339">
        <v>1.3</v>
      </c>
      <c r="H14" s="339">
        <v>0.29</v>
      </c>
      <c r="I14" s="339">
        <v>0.05</v>
      </c>
    </row>
    <row r="15" spans="1:9" s="9" customFormat="1" ht="22.5">
      <c r="A15" s="611"/>
      <c r="B15" s="274" t="s">
        <v>6</v>
      </c>
      <c r="C15" s="105">
        <v>13536</v>
      </c>
      <c r="D15" s="203">
        <v>247</v>
      </c>
      <c r="E15" s="105">
        <v>24463</v>
      </c>
      <c r="F15" s="105">
        <v>1636</v>
      </c>
      <c r="G15" s="339">
        <v>2.57</v>
      </c>
      <c r="H15" s="339">
        <v>1.43</v>
      </c>
      <c r="I15" s="339">
        <v>1.55</v>
      </c>
    </row>
    <row r="16" spans="1:9" s="9" customFormat="1" ht="22.5">
      <c r="A16" s="611"/>
      <c r="B16" s="274" t="s">
        <v>7</v>
      </c>
      <c r="C16" s="105">
        <v>3000</v>
      </c>
      <c r="D16" s="203">
        <v>36</v>
      </c>
      <c r="E16" s="203">
        <v>7399</v>
      </c>
      <c r="F16" s="203">
        <v>618</v>
      </c>
      <c r="G16" s="154">
        <v>0.38</v>
      </c>
      <c r="H16" s="154">
        <v>0.43</v>
      </c>
      <c r="I16" s="339">
        <v>0.59</v>
      </c>
    </row>
    <row r="17" spans="1:9" s="9" customFormat="1" ht="22.5">
      <c r="A17" s="611"/>
      <c r="B17" s="274" t="s">
        <v>8</v>
      </c>
      <c r="C17" s="105">
        <v>2920</v>
      </c>
      <c r="D17" s="203">
        <v>74</v>
      </c>
      <c r="E17" s="105">
        <v>4196</v>
      </c>
      <c r="F17" s="105">
        <v>165</v>
      </c>
      <c r="G17" s="339">
        <v>0.77</v>
      </c>
      <c r="H17" s="339">
        <v>0.25</v>
      </c>
      <c r="I17" s="339">
        <v>0.16</v>
      </c>
    </row>
    <row r="18" spans="1:9" s="9" customFormat="1" ht="22.5">
      <c r="A18" s="611"/>
      <c r="B18" s="274" t="s">
        <v>9</v>
      </c>
      <c r="C18" s="105">
        <v>4000</v>
      </c>
      <c r="D18" s="203">
        <v>101</v>
      </c>
      <c r="E18" s="105">
        <v>2414</v>
      </c>
      <c r="F18" s="105">
        <v>96</v>
      </c>
      <c r="G18" s="339">
        <v>1.05</v>
      </c>
      <c r="H18" s="339">
        <v>0.14</v>
      </c>
      <c r="I18" s="339">
        <v>0.09</v>
      </c>
    </row>
    <row r="19" spans="1:9" s="9" customFormat="1" ht="11.25">
      <c r="A19" s="611"/>
      <c r="B19" s="274" t="s">
        <v>10</v>
      </c>
      <c r="C19" s="105">
        <v>217113</v>
      </c>
      <c r="D19" s="203">
        <v>347</v>
      </c>
      <c r="E19" s="105">
        <v>23601</v>
      </c>
      <c r="F19" s="105">
        <v>9965</v>
      </c>
      <c r="G19" s="339">
        <v>3.62</v>
      </c>
      <c r="H19" s="339">
        <v>1.38</v>
      </c>
      <c r="I19" s="339">
        <v>9.44</v>
      </c>
    </row>
    <row r="20" spans="1:9" s="9" customFormat="1" ht="11.25">
      <c r="A20" s="611"/>
      <c r="B20" s="274" t="s">
        <v>11</v>
      </c>
      <c r="C20" s="105">
        <v>1000</v>
      </c>
      <c r="D20" s="203">
        <v>104</v>
      </c>
      <c r="E20" s="105">
        <v>2671</v>
      </c>
      <c r="F20" s="105">
        <v>26</v>
      </c>
      <c r="G20" s="339">
        <v>1.08</v>
      </c>
      <c r="H20" s="339">
        <v>0.16</v>
      </c>
      <c r="I20" s="339">
        <v>0.02</v>
      </c>
    </row>
    <row r="21" spans="1:9" s="9" customFormat="1" ht="22.5">
      <c r="A21" s="611"/>
      <c r="B21" s="274" t="s">
        <v>296</v>
      </c>
      <c r="C21" s="105">
        <v>2000</v>
      </c>
      <c r="D21" s="203">
        <v>196</v>
      </c>
      <c r="E21" s="105">
        <v>631</v>
      </c>
      <c r="F21" s="105">
        <v>6</v>
      </c>
      <c r="G21" s="339">
        <v>2.04</v>
      </c>
      <c r="H21" s="339">
        <v>0.04</v>
      </c>
      <c r="I21" s="339">
        <v>0.01</v>
      </c>
    </row>
    <row r="22" spans="1:9" s="9" customFormat="1" ht="11.25">
      <c r="A22" s="611"/>
      <c r="B22" s="274" t="s">
        <v>12</v>
      </c>
      <c r="C22" s="105">
        <v>206024</v>
      </c>
      <c r="D22" s="203">
        <v>338</v>
      </c>
      <c r="E22" s="105">
        <v>14102</v>
      </c>
      <c r="F22" s="105">
        <v>5760</v>
      </c>
      <c r="G22" s="339">
        <v>3.52</v>
      </c>
      <c r="H22" s="339">
        <v>0.82</v>
      </c>
      <c r="I22" s="339">
        <v>5.46</v>
      </c>
    </row>
    <row r="23" spans="1:9" s="9" customFormat="1" ht="22.5">
      <c r="A23" s="611"/>
      <c r="B23" s="274" t="s">
        <v>13</v>
      </c>
      <c r="C23" s="105">
        <v>5400</v>
      </c>
      <c r="D23" s="203">
        <v>26</v>
      </c>
      <c r="E23" s="105">
        <v>2003</v>
      </c>
      <c r="F23" s="105">
        <v>429</v>
      </c>
      <c r="G23" s="339">
        <v>0.27</v>
      </c>
      <c r="H23" s="339">
        <v>0.12</v>
      </c>
      <c r="I23" s="339">
        <v>0.41</v>
      </c>
    </row>
    <row r="24" spans="1:9" s="9" customFormat="1" ht="11.25">
      <c r="A24" s="611"/>
      <c r="B24" s="274" t="s">
        <v>14</v>
      </c>
      <c r="C24" s="105">
        <v>200</v>
      </c>
      <c r="D24" s="203">
        <v>20</v>
      </c>
      <c r="E24" s="105">
        <v>3350</v>
      </c>
      <c r="F24" s="105">
        <v>33</v>
      </c>
      <c r="G24" s="339">
        <v>0.21</v>
      </c>
      <c r="H24" s="339">
        <v>0.2</v>
      </c>
      <c r="I24" s="339">
        <v>0.03</v>
      </c>
    </row>
    <row r="25" spans="1:9" s="9" customFormat="1" ht="11.25">
      <c r="A25" s="611"/>
      <c r="B25" s="274" t="s">
        <v>15</v>
      </c>
      <c r="C25" s="105">
        <v>7390</v>
      </c>
      <c r="D25" s="203">
        <v>538</v>
      </c>
      <c r="E25" s="105">
        <v>83682</v>
      </c>
      <c r="F25" s="105">
        <v>884</v>
      </c>
      <c r="G25" s="339">
        <v>5.6</v>
      </c>
      <c r="H25" s="339">
        <v>4.89</v>
      </c>
      <c r="I25" s="339">
        <v>0.84</v>
      </c>
    </row>
    <row r="26" spans="1:9" s="9" customFormat="1" ht="22.5">
      <c r="A26" s="611"/>
      <c r="B26" s="274" t="s">
        <v>16</v>
      </c>
      <c r="C26" s="105">
        <v>21500</v>
      </c>
      <c r="D26" s="203">
        <v>1607</v>
      </c>
      <c r="E26" s="105">
        <v>23024</v>
      </c>
      <c r="F26" s="105">
        <v>268</v>
      </c>
      <c r="G26" s="339">
        <v>16.73</v>
      </c>
      <c r="H26" s="339">
        <v>1.35</v>
      </c>
      <c r="I26" s="339">
        <v>0.25</v>
      </c>
    </row>
    <row r="27" spans="1:9" s="9" customFormat="1" ht="22.5">
      <c r="A27" s="611"/>
      <c r="B27" s="274" t="s">
        <v>17</v>
      </c>
      <c r="C27" s="105">
        <v>0</v>
      </c>
      <c r="D27" s="203">
        <v>0</v>
      </c>
      <c r="E27" s="105">
        <v>122</v>
      </c>
      <c r="F27" s="105">
        <v>1</v>
      </c>
      <c r="G27" s="339">
        <v>0</v>
      </c>
      <c r="H27" s="155">
        <v>0.01</v>
      </c>
      <c r="I27" s="155">
        <v>0</v>
      </c>
    </row>
    <row r="28" spans="1:9" s="9" customFormat="1" ht="22.5">
      <c r="A28" s="611"/>
      <c r="B28" s="274" t="s">
        <v>18</v>
      </c>
      <c r="C28" s="105">
        <v>750</v>
      </c>
      <c r="D28" s="203">
        <v>76</v>
      </c>
      <c r="E28" s="105">
        <v>5917</v>
      </c>
      <c r="F28" s="105">
        <v>58</v>
      </c>
      <c r="G28" s="339">
        <v>0.79</v>
      </c>
      <c r="H28" s="339">
        <v>0.35</v>
      </c>
      <c r="I28" s="339">
        <v>0.06</v>
      </c>
    </row>
    <row r="29" spans="1:9" s="9" customFormat="1" ht="23.25" thickBot="1">
      <c r="A29" s="611"/>
      <c r="B29" s="274" t="s">
        <v>19</v>
      </c>
      <c r="C29" s="107">
        <v>1000</v>
      </c>
      <c r="D29" s="205">
        <v>102</v>
      </c>
      <c r="E29" s="107">
        <v>2372</v>
      </c>
      <c r="F29" s="107">
        <v>23</v>
      </c>
      <c r="G29" s="335">
        <v>1.06</v>
      </c>
      <c r="H29" s="335">
        <v>0.14</v>
      </c>
      <c r="I29" s="335">
        <v>0.02</v>
      </c>
    </row>
    <row r="30" spans="1:9" s="9" customFormat="1" ht="11.25" thickBot="1">
      <c r="A30" s="580"/>
      <c r="B30" s="393" t="s">
        <v>278</v>
      </c>
      <c r="C30" s="394">
        <f>SUM(C10:C29)</f>
        <v>586002</v>
      </c>
      <c r="D30" s="394">
        <f aca="true" t="shared" si="1" ref="D30:I30">SUM(D10:D29)</f>
        <v>6438</v>
      </c>
      <c r="E30" s="394">
        <f t="shared" si="1"/>
        <v>439614</v>
      </c>
      <c r="F30" s="394">
        <f t="shared" si="1"/>
        <v>58612</v>
      </c>
      <c r="G30" s="395">
        <f t="shared" si="1"/>
        <v>67.02000000000001</v>
      </c>
      <c r="H30" s="395">
        <f t="shared" si="1"/>
        <v>25.720000000000002</v>
      </c>
      <c r="I30" s="395">
        <f t="shared" si="1"/>
        <v>55.57</v>
      </c>
    </row>
    <row r="31" spans="1:9" s="9" customFormat="1" ht="11.25">
      <c r="A31" s="575" t="s">
        <v>86</v>
      </c>
      <c r="B31" s="272" t="s">
        <v>281</v>
      </c>
      <c r="C31" s="144">
        <v>19516</v>
      </c>
      <c r="D31" s="198">
        <v>311</v>
      </c>
      <c r="E31" s="144">
        <v>5547</v>
      </c>
      <c r="F31" s="144">
        <v>276</v>
      </c>
      <c r="G31" s="338">
        <v>3.24</v>
      </c>
      <c r="H31" s="338">
        <v>0.32</v>
      </c>
      <c r="I31" s="338">
        <v>0.26</v>
      </c>
    </row>
    <row r="32" spans="1:9" s="9" customFormat="1" ht="22.5">
      <c r="A32" s="576"/>
      <c r="B32" s="274" t="s">
        <v>196</v>
      </c>
      <c r="C32" s="105">
        <v>6000</v>
      </c>
      <c r="D32" s="203">
        <v>13</v>
      </c>
      <c r="E32" s="105">
        <v>403</v>
      </c>
      <c r="F32" s="105">
        <v>206</v>
      </c>
      <c r="G32" s="339">
        <v>0.13</v>
      </c>
      <c r="H32" s="339">
        <v>0.02</v>
      </c>
      <c r="I32" s="339">
        <v>0.2</v>
      </c>
    </row>
    <row r="33" spans="1:9" s="9" customFormat="1" ht="22.5">
      <c r="A33" s="576"/>
      <c r="B33" s="274" t="s">
        <v>250</v>
      </c>
      <c r="C33" s="105">
        <v>3000</v>
      </c>
      <c r="D33" s="203">
        <v>6</v>
      </c>
      <c r="E33" s="203">
        <v>10</v>
      </c>
      <c r="F33" s="203">
        <v>5</v>
      </c>
      <c r="G33" s="339">
        <v>0.06</v>
      </c>
      <c r="H33" s="339">
        <v>0</v>
      </c>
      <c r="I33" s="339">
        <v>0</v>
      </c>
    </row>
    <row r="34" spans="1:9" s="9" customFormat="1" ht="22.5">
      <c r="A34" s="576"/>
      <c r="B34" s="274" t="s">
        <v>249</v>
      </c>
      <c r="C34" s="105">
        <v>4290</v>
      </c>
      <c r="D34" s="203">
        <v>0.47</v>
      </c>
      <c r="E34" s="203">
        <v>26</v>
      </c>
      <c r="F34" s="203">
        <v>234</v>
      </c>
      <c r="G34" s="154">
        <v>0</v>
      </c>
      <c r="H34" s="154">
        <v>0</v>
      </c>
      <c r="I34" s="154">
        <v>0.22</v>
      </c>
    </row>
    <row r="35" spans="1:9" s="9" customFormat="1" ht="23.25" thickBot="1">
      <c r="A35" s="576"/>
      <c r="B35" s="274" t="s">
        <v>210</v>
      </c>
      <c r="C35" s="107">
        <v>8580</v>
      </c>
      <c r="D35" s="205">
        <v>15</v>
      </c>
      <c r="E35" s="205">
        <v>0</v>
      </c>
      <c r="F35" s="205">
        <v>0</v>
      </c>
      <c r="G35" s="336">
        <v>0.15</v>
      </c>
      <c r="H35" s="336">
        <v>0</v>
      </c>
      <c r="I35" s="336">
        <v>0</v>
      </c>
    </row>
    <row r="36" spans="1:9" s="9" customFormat="1" ht="11.25" thickBot="1">
      <c r="A36" s="577"/>
      <c r="B36" s="393" t="s">
        <v>278</v>
      </c>
      <c r="C36" s="113">
        <f>SUM(C31:C35)</f>
        <v>41386</v>
      </c>
      <c r="D36" s="113">
        <f aca="true" t="shared" si="2" ref="D36:I36">SUM(D31:D35)</f>
        <v>345.47</v>
      </c>
      <c r="E36" s="113">
        <f t="shared" si="2"/>
        <v>5986</v>
      </c>
      <c r="F36" s="113">
        <f t="shared" si="2"/>
        <v>721</v>
      </c>
      <c r="G36" s="398">
        <f t="shared" si="2"/>
        <v>3.58</v>
      </c>
      <c r="H36" s="398">
        <f t="shared" si="2"/>
        <v>0.34</v>
      </c>
      <c r="I36" s="398">
        <f t="shared" si="2"/>
        <v>0.68</v>
      </c>
    </row>
    <row r="37" spans="1:9" s="9" customFormat="1" ht="11.25">
      <c r="A37" s="612" t="s">
        <v>200</v>
      </c>
      <c r="B37" s="272" t="s">
        <v>289</v>
      </c>
      <c r="C37" s="144">
        <v>0</v>
      </c>
      <c r="D37" s="198">
        <v>0</v>
      </c>
      <c r="E37" s="144">
        <v>723</v>
      </c>
      <c r="F37" s="144">
        <v>7</v>
      </c>
      <c r="G37" s="338">
        <v>0</v>
      </c>
      <c r="H37" s="338">
        <v>0.04</v>
      </c>
      <c r="I37" s="338">
        <v>0.01</v>
      </c>
    </row>
    <row r="38" spans="1:9" s="9" customFormat="1" ht="11.25">
      <c r="A38" s="613"/>
      <c r="B38" s="274" t="s">
        <v>292</v>
      </c>
      <c r="C38" s="105">
        <v>326</v>
      </c>
      <c r="D38" s="203">
        <v>33</v>
      </c>
      <c r="E38" s="105">
        <v>3001</v>
      </c>
      <c r="F38" s="105">
        <v>30</v>
      </c>
      <c r="G38" s="339">
        <v>0.34</v>
      </c>
      <c r="H38" s="339">
        <v>0.18</v>
      </c>
      <c r="I38" s="339">
        <v>0.03</v>
      </c>
    </row>
    <row r="39" spans="1:9" s="9" customFormat="1" ht="11.25">
      <c r="A39" s="613"/>
      <c r="B39" s="274" t="s">
        <v>290</v>
      </c>
      <c r="C39" s="105">
        <v>0</v>
      </c>
      <c r="D39" s="203">
        <v>0</v>
      </c>
      <c r="E39" s="203">
        <f>1239377/1507.5</f>
        <v>822.1406301824212</v>
      </c>
      <c r="F39" s="203">
        <v>12</v>
      </c>
      <c r="G39" s="154">
        <v>0</v>
      </c>
      <c r="H39" s="154">
        <v>0.05</v>
      </c>
      <c r="I39" s="399">
        <v>0.01</v>
      </c>
    </row>
    <row r="40" spans="1:9" s="9" customFormat="1" ht="23.25" thickBot="1">
      <c r="A40" s="613"/>
      <c r="B40" s="284" t="s">
        <v>291</v>
      </c>
      <c r="C40" s="195">
        <v>410</v>
      </c>
      <c r="D40" s="280">
        <f>46002/1507.5</f>
        <v>30.51542288557214</v>
      </c>
      <c r="E40" s="280">
        <f>2110258/1507.8</f>
        <v>1399.5609497280807</v>
      </c>
      <c r="F40" s="280">
        <v>20</v>
      </c>
      <c r="G40" s="400">
        <v>0.32</v>
      </c>
      <c r="H40" s="400">
        <v>0.08</v>
      </c>
      <c r="I40" s="401">
        <v>0.02</v>
      </c>
    </row>
    <row r="41" spans="1:9" ht="13.5" thickBot="1">
      <c r="A41" s="614"/>
      <c r="B41" s="393" t="s">
        <v>278</v>
      </c>
      <c r="C41" s="361">
        <f>SUM(C37:C40)</f>
        <v>736</v>
      </c>
      <c r="D41" s="361">
        <f aca="true" t="shared" si="3" ref="D41:I41">SUM(D37:D40)</f>
        <v>63.515422885572136</v>
      </c>
      <c r="E41" s="361">
        <f t="shared" si="3"/>
        <v>5945.701579910501</v>
      </c>
      <c r="F41" s="361">
        <f t="shared" si="3"/>
        <v>69</v>
      </c>
      <c r="G41" s="402">
        <f t="shared" si="3"/>
        <v>0.66</v>
      </c>
      <c r="H41" s="402">
        <f t="shared" si="3"/>
        <v>0.35000000000000003</v>
      </c>
      <c r="I41" s="402">
        <f t="shared" si="3"/>
        <v>0.07</v>
      </c>
    </row>
    <row r="42" spans="1:9" ht="23.25" thickBot="1">
      <c r="A42" s="515" t="s">
        <v>280</v>
      </c>
      <c r="B42" s="295" t="s">
        <v>20</v>
      </c>
      <c r="C42" s="403">
        <v>10920</v>
      </c>
      <c r="D42" s="403">
        <v>23</v>
      </c>
      <c r="E42" s="403">
        <v>3904</v>
      </c>
      <c r="F42" s="403">
        <v>2190</v>
      </c>
      <c r="G42" s="404">
        <v>0.24</v>
      </c>
      <c r="H42" s="404">
        <v>0.23</v>
      </c>
      <c r="I42" s="404">
        <v>2.08</v>
      </c>
    </row>
    <row r="43" spans="1:9" ht="13.5" thickBot="1">
      <c r="A43" s="516"/>
      <c r="B43" s="393" t="s">
        <v>278</v>
      </c>
      <c r="C43" s="361">
        <f>SUM(C42)</f>
        <v>10920</v>
      </c>
      <c r="D43" s="361">
        <f aca="true" t="shared" si="4" ref="D43:I43">SUM(D42)</f>
        <v>23</v>
      </c>
      <c r="E43" s="361">
        <f t="shared" si="4"/>
        <v>3904</v>
      </c>
      <c r="F43" s="361">
        <f t="shared" si="4"/>
        <v>2190</v>
      </c>
      <c r="G43" s="402">
        <f t="shared" si="4"/>
        <v>0.24</v>
      </c>
      <c r="H43" s="402">
        <f t="shared" si="4"/>
        <v>0.23</v>
      </c>
      <c r="I43" s="402">
        <f t="shared" si="4"/>
        <v>2.08</v>
      </c>
    </row>
    <row r="44" spans="1:9" ht="13.5" thickBot="1">
      <c r="A44" s="511" t="s">
        <v>278</v>
      </c>
      <c r="B44" s="511"/>
      <c r="C44" s="132">
        <f>C9+C30+C36+C41+C43</f>
        <v>804044</v>
      </c>
      <c r="D44" s="132">
        <f>D9+D30+D36+D41+D43</f>
        <v>9609.985422885571</v>
      </c>
      <c r="E44" s="132">
        <f>E9+E30+E36+E41+E43</f>
        <v>1710416.7015799105</v>
      </c>
      <c r="F44" s="132">
        <f>F9+F30+F36+F41+F43</f>
        <v>105516</v>
      </c>
      <c r="G44" s="362">
        <v>100</v>
      </c>
      <c r="H44" s="362">
        <v>100</v>
      </c>
      <c r="I44" s="362">
        <v>100</v>
      </c>
    </row>
  </sheetData>
  <sheetProtection/>
  <mergeCells count="14">
    <mergeCell ref="A10:A30"/>
    <mergeCell ref="A31:A36"/>
    <mergeCell ref="A37:A41"/>
    <mergeCell ref="A44:B44"/>
    <mergeCell ref="A42:A43"/>
    <mergeCell ref="C4:I4"/>
    <mergeCell ref="A7:A9"/>
    <mergeCell ref="G5:I5"/>
    <mergeCell ref="F5:F6"/>
    <mergeCell ref="C5:C6"/>
    <mergeCell ref="D5:D6"/>
    <mergeCell ref="E5:E6"/>
    <mergeCell ref="B5:B6"/>
    <mergeCell ref="A5:A6"/>
  </mergeCells>
  <printOptions horizontalCentered="1"/>
  <pageMargins left="0" right="0" top="0.5" bottom="0.5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U10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21" customWidth="1"/>
    <col min="2" max="2" width="17.28125" style="56" customWidth="1"/>
    <col min="3" max="3" width="5.57421875" style="13" bestFit="1" customWidth="1"/>
    <col min="4" max="4" width="4.7109375" style="2" bestFit="1" customWidth="1"/>
    <col min="5" max="5" width="5.421875" style="2" bestFit="1" customWidth="1"/>
    <col min="6" max="11" width="4.7109375" style="2" bestFit="1" customWidth="1"/>
    <col min="12" max="12" width="5.421875" style="2" bestFit="1" customWidth="1"/>
    <col min="13" max="13" width="5.8515625" style="2" bestFit="1" customWidth="1"/>
    <col min="14" max="14" width="5.421875" style="2" bestFit="1" customWidth="1"/>
    <col min="15" max="15" width="5.421875" style="5" customWidth="1"/>
    <col min="16" max="16384" width="9.140625" style="5" customWidth="1"/>
  </cols>
  <sheetData>
    <row r="1" spans="1:21" ht="19.5" customHeight="1">
      <c r="A1" s="164" t="s">
        <v>282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36"/>
      <c r="Q1" s="36"/>
      <c r="R1" s="36"/>
      <c r="S1" s="36"/>
      <c r="T1" s="36"/>
      <c r="U1" s="36"/>
    </row>
    <row r="2" spans="1:21" ht="12.75">
      <c r="A2" s="14" t="s">
        <v>189</v>
      </c>
      <c r="M2" s="21"/>
      <c r="N2" s="13"/>
      <c r="O2" s="13"/>
      <c r="P2" s="2"/>
      <c r="Q2" s="2"/>
      <c r="R2" s="2"/>
      <c r="S2" s="2"/>
      <c r="T2" s="2"/>
      <c r="U2" s="2"/>
    </row>
    <row r="3" spans="1:21" ht="6.75" customHeight="1" thickBot="1">
      <c r="A3" s="14"/>
      <c r="M3" s="21"/>
      <c r="N3" s="13"/>
      <c r="O3" s="13"/>
      <c r="P3" s="2"/>
      <c r="Q3" s="2"/>
      <c r="R3" s="2"/>
      <c r="S3" s="2"/>
      <c r="T3" s="2"/>
      <c r="U3" s="2"/>
    </row>
    <row r="4" spans="1:21" ht="13.5" thickBot="1">
      <c r="A4" s="14"/>
      <c r="D4" s="458">
        <v>2008</v>
      </c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2"/>
      <c r="Q4" s="2"/>
      <c r="R4" s="2"/>
      <c r="S4" s="2"/>
      <c r="T4" s="2"/>
      <c r="U4" s="2"/>
    </row>
    <row r="5" spans="1:15" ht="48" thickBot="1">
      <c r="A5" s="182" t="s">
        <v>227</v>
      </c>
      <c r="B5" s="88" t="s">
        <v>228</v>
      </c>
      <c r="C5" s="371" t="s">
        <v>283</v>
      </c>
      <c r="D5" s="67" t="s">
        <v>304</v>
      </c>
      <c r="E5" s="67" t="s">
        <v>305</v>
      </c>
      <c r="F5" s="67" t="s">
        <v>306</v>
      </c>
      <c r="G5" s="67" t="s">
        <v>307</v>
      </c>
      <c r="H5" s="67" t="s">
        <v>308</v>
      </c>
      <c r="I5" s="67" t="s">
        <v>309</v>
      </c>
      <c r="J5" s="67" t="s">
        <v>310</v>
      </c>
      <c r="K5" s="67" t="s">
        <v>311</v>
      </c>
      <c r="L5" s="67" t="s">
        <v>312</v>
      </c>
      <c r="M5" s="67" t="s">
        <v>313</v>
      </c>
      <c r="N5" s="67" t="s">
        <v>314</v>
      </c>
      <c r="O5" s="67" t="s">
        <v>315</v>
      </c>
    </row>
    <row r="6" spans="1:15" ht="11.25" customHeight="1">
      <c r="A6" s="557" t="s">
        <v>190</v>
      </c>
      <c r="B6" s="594" t="s">
        <v>191</v>
      </c>
      <c r="C6" s="319" t="s">
        <v>284</v>
      </c>
      <c r="D6" s="405">
        <v>24.5</v>
      </c>
      <c r="E6" s="334">
        <v>22.25</v>
      </c>
      <c r="F6" s="333">
        <v>23</v>
      </c>
      <c r="G6" s="333">
        <v>25.49</v>
      </c>
      <c r="H6" s="333">
        <v>36.5</v>
      </c>
      <c r="I6" s="333">
        <v>38</v>
      </c>
      <c r="J6" s="333">
        <v>40</v>
      </c>
      <c r="K6" s="333">
        <v>36.9</v>
      </c>
      <c r="L6" s="334">
        <v>32.5</v>
      </c>
      <c r="M6" s="334">
        <v>28.5</v>
      </c>
      <c r="N6" s="334">
        <v>23.39</v>
      </c>
      <c r="O6" s="152">
        <v>18.2</v>
      </c>
    </row>
    <row r="7" spans="1:15" ht="11.25" customHeight="1">
      <c r="A7" s="558"/>
      <c r="B7" s="597"/>
      <c r="C7" s="325" t="s">
        <v>285</v>
      </c>
      <c r="D7" s="406">
        <v>20.25</v>
      </c>
      <c r="E7" s="154">
        <v>20.53</v>
      </c>
      <c r="F7" s="397">
        <v>20.1</v>
      </c>
      <c r="G7" s="397">
        <v>21.76</v>
      </c>
      <c r="H7" s="397">
        <v>22.22</v>
      </c>
      <c r="I7" s="397">
        <v>3.4</v>
      </c>
      <c r="J7" s="397">
        <v>35.5</v>
      </c>
      <c r="K7" s="397">
        <v>26.76</v>
      </c>
      <c r="L7" s="154">
        <v>26.5</v>
      </c>
      <c r="M7" s="154">
        <v>17.91</v>
      </c>
      <c r="N7" s="154">
        <v>16.15</v>
      </c>
      <c r="O7" s="153">
        <v>16.5</v>
      </c>
    </row>
    <row r="8" spans="1:15" ht="11.25" customHeight="1" thickBot="1">
      <c r="A8" s="558"/>
      <c r="B8" s="595"/>
      <c r="C8" s="321" t="s">
        <v>286</v>
      </c>
      <c r="D8" s="354">
        <v>21.54</v>
      </c>
      <c r="E8" s="350">
        <v>20.54</v>
      </c>
      <c r="F8" s="350">
        <v>22</v>
      </c>
      <c r="G8" s="350">
        <v>24.15</v>
      </c>
      <c r="H8" s="350">
        <v>33.35</v>
      </c>
      <c r="I8" s="350">
        <v>37.17</v>
      </c>
      <c r="J8" s="350">
        <v>36.3</v>
      </c>
      <c r="K8" s="350">
        <v>29.11</v>
      </c>
      <c r="L8" s="350">
        <v>28.73</v>
      </c>
      <c r="M8" s="350">
        <v>22.73</v>
      </c>
      <c r="N8" s="350">
        <v>17.46</v>
      </c>
      <c r="O8" s="350">
        <v>16.54</v>
      </c>
    </row>
    <row r="9" spans="1:15" ht="11.25" customHeight="1">
      <c r="A9" s="558"/>
      <c r="B9" s="597" t="s">
        <v>192</v>
      </c>
      <c r="C9" s="319" t="s">
        <v>284</v>
      </c>
      <c r="D9" s="405">
        <v>24.2</v>
      </c>
      <c r="E9" s="334">
        <v>22.23</v>
      </c>
      <c r="F9" s="333">
        <v>22.74</v>
      </c>
      <c r="G9" s="333">
        <v>25.6</v>
      </c>
      <c r="H9" s="333">
        <v>35.99</v>
      </c>
      <c r="I9" s="333">
        <v>37.85</v>
      </c>
      <c r="J9" s="333">
        <v>39.93</v>
      </c>
      <c r="K9" s="333">
        <v>36.74</v>
      </c>
      <c r="L9" s="334">
        <v>32.25</v>
      </c>
      <c r="M9" s="334">
        <v>28.25</v>
      </c>
      <c r="N9" s="334">
        <v>23.45</v>
      </c>
      <c r="O9" s="152">
        <v>18.05</v>
      </c>
    </row>
    <row r="10" spans="1:15" ht="11.25" customHeight="1">
      <c r="A10" s="558"/>
      <c r="B10" s="597"/>
      <c r="C10" s="325" t="s">
        <v>285</v>
      </c>
      <c r="D10" s="406">
        <v>20</v>
      </c>
      <c r="E10" s="154">
        <v>20.63</v>
      </c>
      <c r="F10" s="397">
        <v>20.01</v>
      </c>
      <c r="G10" s="397">
        <v>21.52</v>
      </c>
      <c r="H10" s="397">
        <v>22.2</v>
      </c>
      <c r="I10" s="397">
        <v>33.95</v>
      </c>
      <c r="J10" s="397">
        <v>35.25</v>
      </c>
      <c r="K10" s="397">
        <v>27</v>
      </c>
      <c r="L10" s="154">
        <v>26</v>
      </c>
      <c r="M10" s="154">
        <v>17.91</v>
      </c>
      <c r="N10" s="154">
        <v>16.5</v>
      </c>
      <c r="O10" s="153">
        <v>16.25</v>
      </c>
    </row>
    <row r="11" spans="1:15" s="15" customFormat="1" ht="11.25" customHeight="1" thickBot="1">
      <c r="A11" s="559"/>
      <c r="B11" s="595"/>
      <c r="C11" s="321" t="s">
        <v>286</v>
      </c>
      <c r="D11" s="354">
        <v>21.51</v>
      </c>
      <c r="E11" s="350">
        <v>20.87</v>
      </c>
      <c r="F11" s="350">
        <v>21.99</v>
      </c>
      <c r="G11" s="350">
        <v>24.11</v>
      </c>
      <c r="H11" s="350">
        <v>33.2</v>
      </c>
      <c r="I11" s="350">
        <v>37.27</v>
      </c>
      <c r="J11" s="350">
        <v>36.34</v>
      </c>
      <c r="K11" s="350">
        <v>28.84</v>
      </c>
      <c r="L11" s="350">
        <v>28.34</v>
      </c>
      <c r="M11" s="350">
        <v>22.64</v>
      </c>
      <c r="N11" s="350">
        <v>17.33</v>
      </c>
      <c r="O11" s="350">
        <v>16.7</v>
      </c>
    </row>
    <row r="12" spans="1:15" s="9" customFormat="1" ht="9">
      <c r="A12" s="568" t="s">
        <v>427</v>
      </c>
      <c r="B12" s="594" t="s">
        <v>1</v>
      </c>
      <c r="C12" s="319" t="s">
        <v>284</v>
      </c>
      <c r="D12" s="358">
        <v>8</v>
      </c>
      <c r="E12" s="334">
        <v>8</v>
      </c>
      <c r="F12" s="338">
        <v>7.5</v>
      </c>
      <c r="G12" s="338">
        <v>7.5</v>
      </c>
      <c r="H12" s="338">
        <v>7.5</v>
      </c>
      <c r="I12" s="338">
        <v>7.5</v>
      </c>
      <c r="J12" s="338">
        <v>7.5</v>
      </c>
      <c r="K12" s="338">
        <v>7.5</v>
      </c>
      <c r="L12" s="338">
        <v>7.5</v>
      </c>
      <c r="M12" s="152">
        <v>1.53</v>
      </c>
      <c r="N12" s="152">
        <v>1.9</v>
      </c>
      <c r="O12" s="152">
        <v>1.9</v>
      </c>
    </row>
    <row r="13" spans="1:15" s="9" customFormat="1" ht="9">
      <c r="A13" s="569"/>
      <c r="B13" s="597"/>
      <c r="C13" s="325" t="s">
        <v>285</v>
      </c>
      <c r="D13" s="407">
        <v>8</v>
      </c>
      <c r="E13" s="154">
        <v>7.49</v>
      </c>
      <c r="F13" s="339">
        <v>7.5</v>
      </c>
      <c r="G13" s="339">
        <v>7.4</v>
      </c>
      <c r="H13" s="339">
        <v>7.5</v>
      </c>
      <c r="I13" s="339">
        <v>7.5</v>
      </c>
      <c r="J13" s="339">
        <v>7.5</v>
      </c>
      <c r="K13" s="339">
        <v>7.5</v>
      </c>
      <c r="L13" s="339">
        <v>7.5</v>
      </c>
      <c r="M13" s="153">
        <v>1.37</v>
      </c>
      <c r="N13" s="153">
        <v>1.9</v>
      </c>
      <c r="O13" s="153">
        <v>1.9</v>
      </c>
    </row>
    <row r="14" spans="1:15" s="9" customFormat="1" ht="9.75" thickBot="1">
      <c r="A14" s="569"/>
      <c r="B14" s="595"/>
      <c r="C14" s="321" t="s">
        <v>286</v>
      </c>
      <c r="D14" s="354">
        <v>8</v>
      </c>
      <c r="E14" s="350">
        <v>8</v>
      </c>
      <c r="F14" s="350">
        <v>7.5</v>
      </c>
      <c r="G14" s="350">
        <v>7.5</v>
      </c>
      <c r="H14" s="350">
        <v>7.5</v>
      </c>
      <c r="I14" s="350">
        <v>7.5</v>
      </c>
      <c r="J14" s="350">
        <v>7.5</v>
      </c>
      <c r="K14" s="350">
        <v>7.5</v>
      </c>
      <c r="L14" s="350">
        <v>7.5</v>
      </c>
      <c r="M14" s="350">
        <v>1.52</v>
      </c>
      <c r="N14" s="350">
        <v>1.9</v>
      </c>
      <c r="O14" s="350">
        <v>1.9</v>
      </c>
    </row>
    <row r="15" spans="1:15" s="9" customFormat="1" ht="9">
      <c r="A15" s="569"/>
      <c r="B15" s="594" t="s">
        <v>2</v>
      </c>
      <c r="C15" s="319" t="s">
        <v>284</v>
      </c>
      <c r="D15" s="358">
        <v>70</v>
      </c>
      <c r="E15" s="334">
        <v>70</v>
      </c>
      <c r="F15" s="338">
        <v>85.5</v>
      </c>
      <c r="G15" s="338">
        <v>93.5</v>
      </c>
      <c r="H15" s="338">
        <v>98</v>
      </c>
      <c r="I15" s="338">
        <v>96</v>
      </c>
      <c r="J15" s="338">
        <v>96</v>
      </c>
      <c r="K15" s="338">
        <v>94</v>
      </c>
      <c r="L15" s="152">
        <v>89.7</v>
      </c>
      <c r="M15" s="152">
        <v>78</v>
      </c>
      <c r="N15" s="152">
        <v>65</v>
      </c>
      <c r="O15" s="152">
        <v>55.25</v>
      </c>
    </row>
    <row r="16" spans="1:15" s="9" customFormat="1" ht="9">
      <c r="A16" s="569"/>
      <c r="B16" s="597"/>
      <c r="C16" s="325" t="s">
        <v>285</v>
      </c>
      <c r="D16" s="407">
        <v>70</v>
      </c>
      <c r="E16" s="154">
        <v>70</v>
      </c>
      <c r="F16" s="339">
        <v>80.5</v>
      </c>
      <c r="G16" s="339">
        <v>82</v>
      </c>
      <c r="H16" s="339">
        <v>92</v>
      </c>
      <c r="I16" s="339">
        <v>91.5</v>
      </c>
      <c r="J16" s="339">
        <v>90</v>
      </c>
      <c r="K16" s="339">
        <v>81</v>
      </c>
      <c r="L16" s="153">
        <v>84.75</v>
      </c>
      <c r="M16" s="153">
        <v>70</v>
      </c>
      <c r="N16" s="153">
        <v>54</v>
      </c>
      <c r="O16" s="153">
        <v>52</v>
      </c>
    </row>
    <row r="17" spans="1:15" s="9" customFormat="1" ht="9.75" thickBot="1">
      <c r="A17" s="569"/>
      <c r="B17" s="595"/>
      <c r="C17" s="321" t="s">
        <v>286</v>
      </c>
      <c r="D17" s="354">
        <v>70</v>
      </c>
      <c r="E17" s="350">
        <v>70</v>
      </c>
      <c r="F17" s="350">
        <v>82.8</v>
      </c>
      <c r="G17" s="350">
        <v>91.1</v>
      </c>
      <c r="H17" s="350">
        <v>95</v>
      </c>
      <c r="I17" s="350">
        <v>94</v>
      </c>
      <c r="J17" s="350">
        <v>93.95</v>
      </c>
      <c r="K17" s="350">
        <v>89.7</v>
      </c>
      <c r="L17" s="350">
        <v>84.75</v>
      </c>
      <c r="M17" s="350">
        <v>70</v>
      </c>
      <c r="N17" s="350">
        <v>55.3</v>
      </c>
      <c r="O17" s="350">
        <v>52</v>
      </c>
    </row>
    <row r="18" spans="1:15" s="9" customFormat="1" ht="9">
      <c r="A18" s="569"/>
      <c r="B18" s="594" t="s">
        <v>3</v>
      </c>
      <c r="C18" s="319" t="s">
        <v>284</v>
      </c>
      <c r="D18" s="358">
        <v>77.4</v>
      </c>
      <c r="E18" s="334">
        <v>76.5</v>
      </c>
      <c r="F18" s="338">
        <v>90</v>
      </c>
      <c r="G18" s="338">
        <v>102.9</v>
      </c>
      <c r="H18" s="338">
        <v>105</v>
      </c>
      <c r="I18" s="338">
        <v>104</v>
      </c>
      <c r="J18" s="338">
        <v>102</v>
      </c>
      <c r="K18" s="338">
        <v>94.95</v>
      </c>
      <c r="L18" s="152">
        <v>90.4</v>
      </c>
      <c r="M18" s="152">
        <v>82.95</v>
      </c>
      <c r="N18" s="152">
        <v>69.9</v>
      </c>
      <c r="O18" s="152">
        <v>57</v>
      </c>
    </row>
    <row r="19" spans="1:15" s="9" customFormat="1" ht="9">
      <c r="A19" s="569"/>
      <c r="B19" s="597"/>
      <c r="C19" s="325" t="s">
        <v>285</v>
      </c>
      <c r="D19" s="407">
        <v>72</v>
      </c>
      <c r="E19" s="154">
        <v>70</v>
      </c>
      <c r="F19" s="339">
        <v>72</v>
      </c>
      <c r="G19" s="339">
        <v>86.5</v>
      </c>
      <c r="H19" s="339">
        <v>92</v>
      </c>
      <c r="I19" s="339">
        <v>93.5</v>
      </c>
      <c r="J19" s="339">
        <v>93</v>
      </c>
      <c r="K19" s="339">
        <v>82</v>
      </c>
      <c r="L19" s="153">
        <v>80.5</v>
      </c>
      <c r="M19" s="153">
        <v>64.85</v>
      </c>
      <c r="N19" s="153">
        <v>53.5</v>
      </c>
      <c r="O19" s="153">
        <v>53.45</v>
      </c>
    </row>
    <row r="20" spans="1:15" s="9" customFormat="1" ht="9.75" thickBot="1">
      <c r="A20" s="569"/>
      <c r="B20" s="595"/>
      <c r="C20" s="321" t="s">
        <v>286</v>
      </c>
      <c r="D20" s="354">
        <v>74.1</v>
      </c>
      <c r="E20" s="350">
        <v>72</v>
      </c>
      <c r="F20" s="350">
        <v>88.2</v>
      </c>
      <c r="G20" s="350">
        <v>97.7</v>
      </c>
      <c r="H20" s="350">
        <v>99.9</v>
      </c>
      <c r="I20" s="350">
        <v>100</v>
      </c>
      <c r="J20" s="350">
        <v>93.95</v>
      </c>
      <c r="K20" s="350">
        <v>88.5</v>
      </c>
      <c r="L20" s="350">
        <v>83.1</v>
      </c>
      <c r="M20" s="350">
        <v>69</v>
      </c>
      <c r="N20" s="350">
        <v>56.15</v>
      </c>
      <c r="O20" s="350">
        <v>53.45</v>
      </c>
    </row>
    <row r="21" spans="1:15" s="9" customFormat="1" ht="9">
      <c r="A21" s="569"/>
      <c r="B21" s="594" t="s">
        <v>4</v>
      </c>
      <c r="C21" s="319" t="s">
        <v>284</v>
      </c>
      <c r="D21" s="358">
        <v>26.3</v>
      </c>
      <c r="E21" s="334">
        <v>27.25</v>
      </c>
      <c r="F21" s="338">
        <v>27.25</v>
      </c>
      <c r="G21" s="338">
        <v>27.25</v>
      </c>
      <c r="H21" s="338">
        <v>25.5</v>
      </c>
      <c r="I21" s="338">
        <v>25.05</v>
      </c>
      <c r="J21" s="338">
        <v>25.2</v>
      </c>
      <c r="K21" s="338">
        <v>25.1</v>
      </c>
      <c r="L21" s="338">
        <v>25.75</v>
      </c>
      <c r="M21" s="152">
        <v>25</v>
      </c>
      <c r="N21" s="152">
        <v>25.75</v>
      </c>
      <c r="O21" s="152">
        <v>25.75</v>
      </c>
    </row>
    <row r="22" spans="1:15" s="9" customFormat="1" ht="9">
      <c r="A22" s="569"/>
      <c r="B22" s="597"/>
      <c r="C22" s="325" t="s">
        <v>285</v>
      </c>
      <c r="D22" s="407">
        <v>26.3</v>
      </c>
      <c r="E22" s="154">
        <v>27.25</v>
      </c>
      <c r="F22" s="339">
        <v>27.25</v>
      </c>
      <c r="G22" s="339">
        <v>27.25</v>
      </c>
      <c r="H22" s="339">
        <v>25</v>
      </c>
      <c r="I22" s="339">
        <v>25</v>
      </c>
      <c r="J22" s="339">
        <v>25</v>
      </c>
      <c r="K22" s="339">
        <v>25.1</v>
      </c>
      <c r="L22" s="153">
        <v>25</v>
      </c>
      <c r="M22" s="153">
        <v>25</v>
      </c>
      <c r="N22" s="153">
        <v>25</v>
      </c>
      <c r="O22" s="153">
        <v>25.25</v>
      </c>
    </row>
    <row r="23" spans="1:15" s="9" customFormat="1" ht="9.75" thickBot="1">
      <c r="A23" s="569"/>
      <c r="B23" s="595"/>
      <c r="C23" s="321" t="s">
        <v>286</v>
      </c>
      <c r="D23" s="354">
        <v>26.3</v>
      </c>
      <c r="E23" s="350">
        <v>27.25</v>
      </c>
      <c r="F23" s="350">
        <v>27.25</v>
      </c>
      <c r="G23" s="350">
        <v>27.25</v>
      </c>
      <c r="H23" s="350">
        <v>25</v>
      </c>
      <c r="I23" s="350">
        <v>25.05</v>
      </c>
      <c r="J23" s="350">
        <v>25.2</v>
      </c>
      <c r="K23" s="350">
        <v>25.1</v>
      </c>
      <c r="L23" s="350">
        <v>25</v>
      </c>
      <c r="M23" s="350">
        <v>25</v>
      </c>
      <c r="N23" s="350">
        <v>25.75</v>
      </c>
      <c r="O23" s="350">
        <v>25.25</v>
      </c>
    </row>
    <row r="24" spans="1:15" s="9" customFormat="1" ht="9">
      <c r="A24" s="569"/>
      <c r="B24" s="594" t="s">
        <v>5</v>
      </c>
      <c r="C24" s="319" t="s">
        <v>284</v>
      </c>
      <c r="D24" s="358">
        <v>101.5</v>
      </c>
      <c r="E24" s="334">
        <v>105.5</v>
      </c>
      <c r="F24" s="338">
        <v>105.5</v>
      </c>
      <c r="G24" s="338">
        <v>105.5</v>
      </c>
      <c r="H24" s="338">
        <v>100</v>
      </c>
      <c r="I24" s="338">
        <v>101</v>
      </c>
      <c r="J24" s="338">
        <v>100</v>
      </c>
      <c r="K24" s="338">
        <v>100.2</v>
      </c>
      <c r="L24" s="152">
        <v>100</v>
      </c>
      <c r="M24" s="152">
        <v>100.9</v>
      </c>
      <c r="N24" s="152">
        <v>100.9</v>
      </c>
      <c r="O24" s="152">
        <v>100</v>
      </c>
    </row>
    <row r="25" spans="1:15" s="9" customFormat="1" ht="9">
      <c r="A25" s="569"/>
      <c r="B25" s="597"/>
      <c r="C25" s="325" t="s">
        <v>285</v>
      </c>
      <c r="D25" s="407">
        <v>101.4</v>
      </c>
      <c r="E25" s="154">
        <v>105.5</v>
      </c>
      <c r="F25" s="339">
        <v>105.5</v>
      </c>
      <c r="G25" s="339">
        <v>105.5</v>
      </c>
      <c r="H25" s="339">
        <v>100</v>
      </c>
      <c r="I25" s="339">
        <v>100</v>
      </c>
      <c r="J25" s="339">
        <v>100</v>
      </c>
      <c r="K25" s="339">
        <v>100</v>
      </c>
      <c r="L25" s="153">
        <v>100</v>
      </c>
      <c r="M25" s="153">
        <v>100.9</v>
      </c>
      <c r="N25" s="153">
        <v>100.9</v>
      </c>
      <c r="O25" s="153">
        <v>100</v>
      </c>
    </row>
    <row r="26" spans="1:15" s="9" customFormat="1" ht="9.75" thickBot="1">
      <c r="A26" s="569"/>
      <c r="B26" s="595"/>
      <c r="C26" s="321" t="s">
        <v>286</v>
      </c>
      <c r="D26" s="354">
        <v>101.5</v>
      </c>
      <c r="E26" s="350">
        <v>105.5</v>
      </c>
      <c r="F26" s="350">
        <v>105.5</v>
      </c>
      <c r="G26" s="350">
        <v>105.5</v>
      </c>
      <c r="H26" s="350">
        <v>100</v>
      </c>
      <c r="I26" s="350">
        <v>100.9</v>
      </c>
      <c r="J26" s="350">
        <v>100</v>
      </c>
      <c r="K26" s="350">
        <v>100</v>
      </c>
      <c r="L26" s="350">
        <v>100</v>
      </c>
      <c r="M26" s="350">
        <v>100.9</v>
      </c>
      <c r="N26" s="350">
        <v>100.9</v>
      </c>
      <c r="O26" s="350">
        <v>100</v>
      </c>
    </row>
    <row r="27" spans="1:15" s="9" customFormat="1" ht="9">
      <c r="A27" s="569"/>
      <c r="B27" s="594" t="s">
        <v>6</v>
      </c>
      <c r="C27" s="319" t="s">
        <v>284</v>
      </c>
      <c r="D27" s="358">
        <v>12</v>
      </c>
      <c r="E27" s="334">
        <v>13.2</v>
      </c>
      <c r="F27" s="338">
        <v>13.25</v>
      </c>
      <c r="G27" s="338">
        <v>14.15</v>
      </c>
      <c r="H27" s="338">
        <v>15.25</v>
      </c>
      <c r="I27" s="338">
        <v>15.5</v>
      </c>
      <c r="J27" s="338">
        <v>16</v>
      </c>
      <c r="K27" s="338">
        <v>16.8</v>
      </c>
      <c r="L27" s="152">
        <v>16.9</v>
      </c>
      <c r="M27" s="152">
        <v>17.6</v>
      </c>
      <c r="N27" s="152">
        <v>18.5</v>
      </c>
      <c r="O27" s="152">
        <v>18.3</v>
      </c>
    </row>
    <row r="28" spans="1:15" s="9" customFormat="1" ht="9">
      <c r="A28" s="569"/>
      <c r="B28" s="597"/>
      <c r="C28" s="325" t="s">
        <v>285</v>
      </c>
      <c r="D28" s="407">
        <v>12.1</v>
      </c>
      <c r="E28" s="154">
        <v>11.55</v>
      </c>
      <c r="F28" s="339">
        <v>12.6</v>
      </c>
      <c r="G28" s="339">
        <v>13</v>
      </c>
      <c r="H28" s="339">
        <v>13.9</v>
      </c>
      <c r="I28" s="339">
        <v>15.1</v>
      </c>
      <c r="J28" s="339">
        <v>15.3</v>
      </c>
      <c r="K28" s="339">
        <v>16</v>
      </c>
      <c r="L28" s="153">
        <v>16.75</v>
      </c>
      <c r="M28" s="153">
        <v>16.35</v>
      </c>
      <c r="N28" s="153">
        <v>17.75</v>
      </c>
      <c r="O28" s="153">
        <v>18.25</v>
      </c>
    </row>
    <row r="29" spans="1:15" s="9" customFormat="1" ht="9.75" thickBot="1">
      <c r="A29" s="569"/>
      <c r="B29" s="595"/>
      <c r="C29" s="321" t="s">
        <v>286</v>
      </c>
      <c r="D29" s="354">
        <v>12.1</v>
      </c>
      <c r="E29" s="350">
        <v>12.83</v>
      </c>
      <c r="F29" s="350">
        <v>13.25</v>
      </c>
      <c r="G29" s="350">
        <v>14</v>
      </c>
      <c r="H29" s="350">
        <v>15.19</v>
      </c>
      <c r="I29" s="350">
        <v>15.5</v>
      </c>
      <c r="J29" s="350">
        <v>16</v>
      </c>
      <c r="K29" s="350">
        <v>16.75</v>
      </c>
      <c r="L29" s="350">
        <v>16.9</v>
      </c>
      <c r="M29" s="350">
        <v>17.6</v>
      </c>
      <c r="N29" s="350">
        <v>18.3</v>
      </c>
      <c r="O29" s="350">
        <v>18.25</v>
      </c>
    </row>
    <row r="30" spans="1:15" s="9" customFormat="1" ht="9">
      <c r="A30" s="569"/>
      <c r="B30" s="594" t="s">
        <v>7</v>
      </c>
      <c r="C30" s="319" t="s">
        <v>284</v>
      </c>
      <c r="D30" s="358">
        <v>11.5</v>
      </c>
      <c r="E30" s="334">
        <v>11.5</v>
      </c>
      <c r="F30" s="334">
        <v>11.5</v>
      </c>
      <c r="G30" s="334">
        <v>11.5</v>
      </c>
      <c r="H30" s="334">
        <v>11.5</v>
      </c>
      <c r="I30" s="334">
        <v>11.5</v>
      </c>
      <c r="J30" s="338">
        <v>11.95</v>
      </c>
      <c r="K30" s="338">
        <v>11.95</v>
      </c>
      <c r="L30" s="152">
        <v>12.05</v>
      </c>
      <c r="M30" s="152">
        <v>12.05</v>
      </c>
      <c r="N30" s="152">
        <v>12.1</v>
      </c>
      <c r="O30" s="152">
        <v>12.1</v>
      </c>
    </row>
    <row r="31" spans="1:15" s="9" customFormat="1" ht="9">
      <c r="A31" s="569"/>
      <c r="B31" s="597"/>
      <c r="C31" s="325" t="s">
        <v>285</v>
      </c>
      <c r="D31" s="407">
        <v>11.5</v>
      </c>
      <c r="E31" s="154">
        <v>11.5</v>
      </c>
      <c r="F31" s="154">
        <v>11.5</v>
      </c>
      <c r="G31" s="154">
        <v>11.5</v>
      </c>
      <c r="H31" s="154">
        <v>11.5</v>
      </c>
      <c r="I31" s="154">
        <v>11.5</v>
      </c>
      <c r="J31" s="339">
        <v>11.75</v>
      </c>
      <c r="K31" s="339">
        <v>11.95</v>
      </c>
      <c r="L31" s="153">
        <v>12.05</v>
      </c>
      <c r="M31" s="153">
        <v>12.05</v>
      </c>
      <c r="N31" s="153">
        <v>12.05</v>
      </c>
      <c r="O31" s="153">
        <v>12.1</v>
      </c>
    </row>
    <row r="32" spans="1:15" s="9" customFormat="1" ht="9.75" thickBot="1">
      <c r="A32" s="569"/>
      <c r="B32" s="595"/>
      <c r="C32" s="321" t="s">
        <v>286</v>
      </c>
      <c r="D32" s="354">
        <v>11.5</v>
      </c>
      <c r="E32" s="350">
        <v>11.5</v>
      </c>
      <c r="F32" s="350">
        <v>11.5</v>
      </c>
      <c r="G32" s="350">
        <v>11.5</v>
      </c>
      <c r="H32" s="350">
        <v>11.5</v>
      </c>
      <c r="I32" s="350">
        <v>11.5</v>
      </c>
      <c r="J32" s="350">
        <v>11.95</v>
      </c>
      <c r="K32" s="350">
        <v>11.95</v>
      </c>
      <c r="L32" s="350">
        <v>12.05</v>
      </c>
      <c r="M32" s="350">
        <v>12.05</v>
      </c>
      <c r="N32" s="350">
        <v>12.1</v>
      </c>
      <c r="O32" s="350">
        <v>12.1</v>
      </c>
    </row>
    <row r="33" spans="1:15" s="9" customFormat="1" ht="9">
      <c r="A33" s="569"/>
      <c r="B33" s="594" t="s">
        <v>8</v>
      </c>
      <c r="C33" s="319" t="s">
        <v>284</v>
      </c>
      <c r="D33" s="358">
        <v>24.85</v>
      </c>
      <c r="E33" s="334">
        <v>24.85</v>
      </c>
      <c r="F33" s="338">
        <v>24.85</v>
      </c>
      <c r="G33" s="338">
        <v>25.5</v>
      </c>
      <c r="H33" s="338">
        <v>25</v>
      </c>
      <c r="I33" s="338">
        <v>25</v>
      </c>
      <c r="J33" s="338">
        <v>25.5</v>
      </c>
      <c r="K33" s="338">
        <v>25.35</v>
      </c>
      <c r="L33" s="152">
        <v>25.5</v>
      </c>
      <c r="M33" s="152">
        <v>25.65</v>
      </c>
      <c r="N33" s="152">
        <v>25.54</v>
      </c>
      <c r="O33" s="152">
        <v>25.5</v>
      </c>
    </row>
    <row r="34" spans="1:15" s="9" customFormat="1" ht="9">
      <c r="A34" s="569"/>
      <c r="B34" s="597"/>
      <c r="C34" s="325" t="s">
        <v>285</v>
      </c>
      <c r="D34" s="407">
        <v>24.85</v>
      </c>
      <c r="E34" s="154">
        <v>24.85</v>
      </c>
      <c r="F34" s="339">
        <v>24.85</v>
      </c>
      <c r="G34" s="339">
        <v>25</v>
      </c>
      <c r="H34" s="339">
        <v>25</v>
      </c>
      <c r="I34" s="339">
        <v>25</v>
      </c>
      <c r="J34" s="339">
        <v>25</v>
      </c>
      <c r="K34" s="339">
        <v>25</v>
      </c>
      <c r="L34" s="153">
        <v>25.5</v>
      </c>
      <c r="M34" s="153">
        <v>25.5</v>
      </c>
      <c r="N34" s="153">
        <v>25.5</v>
      </c>
      <c r="O34" s="153">
        <v>25.5</v>
      </c>
    </row>
    <row r="35" spans="1:15" s="9" customFormat="1" ht="9.75" thickBot="1">
      <c r="A35" s="569"/>
      <c r="B35" s="595"/>
      <c r="C35" s="321" t="s">
        <v>286</v>
      </c>
      <c r="D35" s="354">
        <v>24.85</v>
      </c>
      <c r="E35" s="350">
        <v>24.85</v>
      </c>
      <c r="F35" s="350">
        <v>24.85</v>
      </c>
      <c r="G35" s="350">
        <v>25</v>
      </c>
      <c r="H35" s="350">
        <v>25</v>
      </c>
      <c r="I35" s="350">
        <v>25</v>
      </c>
      <c r="J35" s="350">
        <v>25.5</v>
      </c>
      <c r="K35" s="350">
        <v>25</v>
      </c>
      <c r="L35" s="350">
        <v>25.5</v>
      </c>
      <c r="M35" s="350">
        <v>25.5</v>
      </c>
      <c r="N35" s="350">
        <v>25.5</v>
      </c>
      <c r="O35" s="350">
        <v>25.5</v>
      </c>
    </row>
    <row r="36" spans="1:15" s="9" customFormat="1" ht="9">
      <c r="A36" s="569"/>
      <c r="B36" s="594" t="s">
        <v>9</v>
      </c>
      <c r="C36" s="319" t="s">
        <v>284</v>
      </c>
      <c r="D36" s="358">
        <v>25</v>
      </c>
      <c r="E36" s="334">
        <v>25</v>
      </c>
      <c r="F36" s="338">
        <v>25.25</v>
      </c>
      <c r="G36" s="338">
        <v>25.25</v>
      </c>
      <c r="H36" s="338">
        <v>25</v>
      </c>
      <c r="I36" s="338">
        <v>25</v>
      </c>
      <c r="J36" s="338">
        <v>25</v>
      </c>
      <c r="K36" s="338">
        <v>25.3</v>
      </c>
      <c r="L36" s="152">
        <v>25.3</v>
      </c>
      <c r="M36" s="152">
        <v>25.25</v>
      </c>
      <c r="N36" s="152">
        <v>25.25</v>
      </c>
      <c r="O36" s="152">
        <v>25.25</v>
      </c>
    </row>
    <row r="37" spans="1:15" s="9" customFormat="1" ht="9">
      <c r="A37" s="569"/>
      <c r="B37" s="597"/>
      <c r="C37" s="325" t="s">
        <v>285</v>
      </c>
      <c r="D37" s="407">
        <v>25</v>
      </c>
      <c r="E37" s="154">
        <v>25</v>
      </c>
      <c r="F37" s="339">
        <v>25.25</v>
      </c>
      <c r="G37" s="339">
        <v>25</v>
      </c>
      <c r="H37" s="339">
        <v>25</v>
      </c>
      <c r="I37" s="339">
        <v>25</v>
      </c>
      <c r="J37" s="339">
        <v>25</v>
      </c>
      <c r="K37" s="339">
        <v>25.3</v>
      </c>
      <c r="L37" s="153">
        <v>25.3</v>
      </c>
      <c r="M37" s="153">
        <v>25.25</v>
      </c>
      <c r="N37" s="153">
        <v>25.25</v>
      </c>
      <c r="O37" s="153">
        <v>25.25</v>
      </c>
    </row>
    <row r="38" spans="1:15" s="9" customFormat="1" ht="9.75" thickBot="1">
      <c r="A38" s="569"/>
      <c r="B38" s="597"/>
      <c r="C38" s="321" t="s">
        <v>286</v>
      </c>
      <c r="D38" s="354">
        <v>25</v>
      </c>
      <c r="E38" s="350">
        <v>25</v>
      </c>
      <c r="F38" s="350">
        <v>25.25</v>
      </c>
      <c r="G38" s="350">
        <v>25.1</v>
      </c>
      <c r="H38" s="350">
        <v>25</v>
      </c>
      <c r="I38" s="350">
        <v>25</v>
      </c>
      <c r="J38" s="350">
        <v>25</v>
      </c>
      <c r="K38" s="350">
        <v>25.3</v>
      </c>
      <c r="L38" s="350">
        <v>25.3</v>
      </c>
      <c r="M38" s="350">
        <v>25.25</v>
      </c>
      <c r="N38" s="350">
        <v>25.25</v>
      </c>
      <c r="O38" s="350">
        <v>25.253</v>
      </c>
    </row>
    <row r="39" spans="1:15" s="9" customFormat="1" ht="9">
      <c r="A39" s="569"/>
      <c r="B39" s="594" t="s">
        <v>10</v>
      </c>
      <c r="C39" s="319" t="s">
        <v>284</v>
      </c>
      <c r="D39" s="358">
        <v>2.4</v>
      </c>
      <c r="E39" s="334">
        <v>2.32</v>
      </c>
      <c r="F39" s="338">
        <v>2.26</v>
      </c>
      <c r="G39" s="338">
        <v>2.5</v>
      </c>
      <c r="H39" s="338">
        <v>3.23</v>
      </c>
      <c r="I39" s="338">
        <v>2.9</v>
      </c>
      <c r="J39" s="338">
        <v>2.9</v>
      </c>
      <c r="K39" s="338">
        <v>2.68</v>
      </c>
      <c r="L39" s="152">
        <v>2.4</v>
      </c>
      <c r="M39" s="152">
        <v>2.39</v>
      </c>
      <c r="N39" s="152">
        <v>1.87</v>
      </c>
      <c r="O39" s="152">
        <v>1.72</v>
      </c>
    </row>
    <row r="40" spans="1:15" s="9" customFormat="1" ht="9">
      <c r="A40" s="569"/>
      <c r="B40" s="597"/>
      <c r="C40" s="325" t="s">
        <v>285</v>
      </c>
      <c r="D40" s="407">
        <v>2.03</v>
      </c>
      <c r="E40" s="154">
        <v>2.15</v>
      </c>
      <c r="F40" s="339">
        <v>2.16</v>
      </c>
      <c r="G40" s="339">
        <v>2.23</v>
      </c>
      <c r="H40" s="339">
        <v>2.15</v>
      </c>
      <c r="I40" s="339">
        <v>2.7</v>
      </c>
      <c r="J40" s="339">
        <v>2.6</v>
      </c>
      <c r="K40" s="339">
        <v>2.3</v>
      </c>
      <c r="L40" s="153">
        <v>2.2</v>
      </c>
      <c r="M40" s="153">
        <v>1.75</v>
      </c>
      <c r="N40" s="153">
        <v>1.6</v>
      </c>
      <c r="O40" s="153">
        <v>1.58</v>
      </c>
    </row>
    <row r="41" spans="1:15" s="9" customFormat="1" ht="9.75" thickBot="1">
      <c r="A41" s="569"/>
      <c r="B41" s="595"/>
      <c r="C41" s="321" t="s">
        <v>286</v>
      </c>
      <c r="D41" s="354">
        <v>2.2</v>
      </c>
      <c r="E41" s="350">
        <v>2.24</v>
      </c>
      <c r="F41" s="350">
        <v>2.22</v>
      </c>
      <c r="G41" s="350">
        <v>2.45</v>
      </c>
      <c r="H41" s="350">
        <v>2.71</v>
      </c>
      <c r="I41" s="350">
        <v>2.77</v>
      </c>
      <c r="J41" s="350">
        <v>2.7</v>
      </c>
      <c r="K41" s="350">
        <v>2.32</v>
      </c>
      <c r="L41" s="350">
        <v>2.23</v>
      </c>
      <c r="M41" s="350">
        <v>1.85</v>
      </c>
      <c r="N41" s="350">
        <v>1.64</v>
      </c>
      <c r="O41" s="350">
        <v>1.6</v>
      </c>
    </row>
    <row r="42" spans="1:15" s="9" customFormat="1" ht="9">
      <c r="A42" s="569"/>
      <c r="B42" s="594" t="s">
        <v>11</v>
      </c>
      <c r="C42" s="319" t="s">
        <v>284</v>
      </c>
      <c r="D42" s="358">
        <v>104.1</v>
      </c>
      <c r="E42" s="334">
        <v>104.1</v>
      </c>
      <c r="F42" s="338">
        <v>104</v>
      </c>
      <c r="G42" s="338">
        <v>104</v>
      </c>
      <c r="H42" s="338">
        <v>105.2</v>
      </c>
      <c r="I42" s="338">
        <v>103</v>
      </c>
      <c r="J42" s="338">
        <v>102.1</v>
      </c>
      <c r="K42" s="338">
        <v>101.6</v>
      </c>
      <c r="L42" s="152">
        <v>104</v>
      </c>
      <c r="M42" s="152">
        <v>103.5</v>
      </c>
      <c r="N42" s="152">
        <v>104</v>
      </c>
      <c r="O42" s="152">
        <v>104</v>
      </c>
    </row>
    <row r="43" spans="1:15" s="9" customFormat="1" ht="9">
      <c r="A43" s="569"/>
      <c r="B43" s="597"/>
      <c r="C43" s="325" t="s">
        <v>285</v>
      </c>
      <c r="D43" s="407">
        <v>104.1</v>
      </c>
      <c r="E43" s="154">
        <v>103.1</v>
      </c>
      <c r="F43" s="339">
        <v>104</v>
      </c>
      <c r="G43" s="339">
        <v>104</v>
      </c>
      <c r="H43" s="339">
        <v>101.1</v>
      </c>
      <c r="I43" s="339">
        <v>101.1</v>
      </c>
      <c r="J43" s="339">
        <v>101.5</v>
      </c>
      <c r="K43" s="339">
        <v>101.5</v>
      </c>
      <c r="L43" s="153">
        <v>101</v>
      </c>
      <c r="M43" s="153">
        <v>103</v>
      </c>
      <c r="N43" s="153">
        <v>103.5</v>
      </c>
      <c r="O43" s="153">
        <v>104</v>
      </c>
    </row>
    <row r="44" spans="1:15" s="9" customFormat="1" ht="9.75" thickBot="1">
      <c r="A44" s="569"/>
      <c r="B44" s="595"/>
      <c r="C44" s="321" t="s">
        <v>286</v>
      </c>
      <c r="D44" s="354">
        <v>104.1</v>
      </c>
      <c r="E44" s="350">
        <v>103.1</v>
      </c>
      <c r="F44" s="350">
        <v>104</v>
      </c>
      <c r="G44" s="350">
        <v>104</v>
      </c>
      <c r="H44" s="350">
        <v>102</v>
      </c>
      <c r="I44" s="350">
        <v>102.2</v>
      </c>
      <c r="J44" s="350">
        <v>101.5</v>
      </c>
      <c r="K44" s="350">
        <v>101.6</v>
      </c>
      <c r="L44" s="350">
        <v>104</v>
      </c>
      <c r="M44" s="350">
        <v>103</v>
      </c>
      <c r="N44" s="350">
        <v>104</v>
      </c>
      <c r="O44" s="350">
        <v>104</v>
      </c>
    </row>
    <row r="45" spans="1:15" s="9" customFormat="1" ht="9">
      <c r="A45" s="569"/>
      <c r="B45" s="594" t="s">
        <v>296</v>
      </c>
      <c r="C45" s="319" t="s">
        <v>284</v>
      </c>
      <c r="D45" s="422"/>
      <c r="E45" s="423"/>
      <c r="F45" s="424"/>
      <c r="G45" s="424"/>
      <c r="H45" s="424"/>
      <c r="I45" s="424"/>
      <c r="J45" s="424"/>
      <c r="K45" s="424"/>
      <c r="L45" s="423"/>
      <c r="M45" s="152">
        <v>100</v>
      </c>
      <c r="N45" s="152">
        <v>99.9</v>
      </c>
      <c r="O45" s="152">
        <v>97.9</v>
      </c>
    </row>
    <row r="46" spans="1:15" s="9" customFormat="1" ht="9">
      <c r="A46" s="569"/>
      <c r="B46" s="597"/>
      <c r="C46" s="325" t="s">
        <v>285</v>
      </c>
      <c r="D46" s="425"/>
      <c r="E46" s="426"/>
      <c r="F46" s="427"/>
      <c r="G46" s="427"/>
      <c r="H46" s="427"/>
      <c r="I46" s="427"/>
      <c r="J46" s="427"/>
      <c r="K46" s="427"/>
      <c r="L46" s="426"/>
      <c r="M46" s="153">
        <v>99.9</v>
      </c>
      <c r="N46" s="153">
        <v>99.9</v>
      </c>
      <c r="O46" s="153">
        <v>97.9</v>
      </c>
    </row>
    <row r="47" spans="1:15" s="9" customFormat="1" ht="9.75" thickBot="1">
      <c r="A47" s="569"/>
      <c r="B47" s="595"/>
      <c r="C47" s="321" t="s">
        <v>286</v>
      </c>
      <c r="D47" s="428"/>
      <c r="E47" s="429"/>
      <c r="F47" s="429"/>
      <c r="G47" s="429"/>
      <c r="H47" s="429"/>
      <c r="I47" s="429"/>
      <c r="J47" s="429"/>
      <c r="K47" s="429"/>
      <c r="L47" s="429"/>
      <c r="M47" s="350">
        <v>99.9</v>
      </c>
      <c r="N47" s="350">
        <v>99.9</v>
      </c>
      <c r="O47" s="350">
        <v>97.9</v>
      </c>
    </row>
    <row r="48" spans="1:15" s="9" customFormat="1" ht="9">
      <c r="A48" s="569"/>
      <c r="B48" s="594" t="s">
        <v>12</v>
      </c>
      <c r="C48" s="319" t="s">
        <v>284</v>
      </c>
      <c r="D48" s="358">
        <v>2.48</v>
      </c>
      <c r="E48" s="334">
        <v>2.3</v>
      </c>
      <c r="F48" s="338">
        <v>2.28</v>
      </c>
      <c r="G48" s="338">
        <v>2.57</v>
      </c>
      <c r="H48" s="338">
        <v>3.1</v>
      </c>
      <c r="I48" s="338">
        <v>2.95</v>
      </c>
      <c r="J48" s="338">
        <v>2.9</v>
      </c>
      <c r="K48" s="338">
        <v>2.67</v>
      </c>
      <c r="L48" s="152">
        <v>2.44</v>
      </c>
      <c r="M48" s="152">
        <v>2.3</v>
      </c>
      <c r="N48" s="152">
        <v>1.89</v>
      </c>
      <c r="O48" s="152">
        <v>1.72</v>
      </c>
    </row>
    <row r="49" spans="1:15" s="9" customFormat="1" ht="9">
      <c r="A49" s="569"/>
      <c r="B49" s="597"/>
      <c r="C49" s="325" t="s">
        <v>285</v>
      </c>
      <c r="D49" s="407">
        <v>2.1</v>
      </c>
      <c r="E49" s="154">
        <v>2.25</v>
      </c>
      <c r="F49" s="339">
        <v>2.16</v>
      </c>
      <c r="G49" s="339">
        <v>2.27</v>
      </c>
      <c r="H49" s="339">
        <v>2.36</v>
      </c>
      <c r="I49" s="339">
        <v>2.75</v>
      </c>
      <c r="J49" s="339">
        <v>2.63</v>
      </c>
      <c r="K49" s="339">
        <v>2.3</v>
      </c>
      <c r="L49" s="153">
        <v>2.2</v>
      </c>
      <c r="M49" s="153">
        <v>1.81</v>
      </c>
      <c r="N49" s="153">
        <v>1.61</v>
      </c>
      <c r="O49" s="153">
        <v>1.54</v>
      </c>
    </row>
    <row r="50" spans="1:15" s="9" customFormat="1" ht="9.75" thickBot="1">
      <c r="A50" s="569"/>
      <c r="B50" s="595"/>
      <c r="C50" s="321" t="s">
        <v>286</v>
      </c>
      <c r="D50" s="354">
        <v>2.29</v>
      </c>
      <c r="E50" s="350">
        <v>2.25</v>
      </c>
      <c r="F50" s="350">
        <v>2.28</v>
      </c>
      <c r="G50" s="350">
        <v>2.54</v>
      </c>
      <c r="H50" s="350">
        <v>2.78</v>
      </c>
      <c r="I50" s="350">
        <v>2.78</v>
      </c>
      <c r="J50" s="350">
        <v>2.67</v>
      </c>
      <c r="K50" s="350">
        <v>2.34</v>
      </c>
      <c r="L50" s="350">
        <v>2.35</v>
      </c>
      <c r="M50" s="350">
        <v>1.9</v>
      </c>
      <c r="N50" s="350">
        <v>1.68</v>
      </c>
      <c r="O50" s="350">
        <v>1.64</v>
      </c>
    </row>
    <row r="51" spans="1:15" s="9" customFormat="1" ht="9">
      <c r="A51" s="569"/>
      <c r="B51" s="594" t="s">
        <v>13</v>
      </c>
      <c r="C51" s="319" t="s">
        <v>284</v>
      </c>
      <c r="D51" s="358">
        <v>4.4</v>
      </c>
      <c r="E51" s="334">
        <v>4</v>
      </c>
      <c r="F51" s="338">
        <v>4</v>
      </c>
      <c r="G51" s="338">
        <v>4.4</v>
      </c>
      <c r="H51" s="338">
        <v>4.1</v>
      </c>
      <c r="I51" s="338">
        <v>4.25</v>
      </c>
      <c r="J51" s="338">
        <v>4.67</v>
      </c>
      <c r="K51" s="338">
        <v>4.9</v>
      </c>
      <c r="L51" s="152">
        <v>5</v>
      </c>
      <c r="M51" s="152">
        <v>4.8</v>
      </c>
      <c r="N51" s="152">
        <v>4.85</v>
      </c>
      <c r="O51" s="152">
        <v>4.83</v>
      </c>
    </row>
    <row r="52" spans="1:15" s="9" customFormat="1" ht="9">
      <c r="A52" s="569"/>
      <c r="B52" s="597"/>
      <c r="C52" s="325" t="s">
        <v>285</v>
      </c>
      <c r="D52" s="407">
        <v>4</v>
      </c>
      <c r="E52" s="154">
        <v>4</v>
      </c>
      <c r="F52" s="339">
        <v>4</v>
      </c>
      <c r="G52" s="339">
        <v>4.1</v>
      </c>
      <c r="H52" s="339">
        <v>4.1</v>
      </c>
      <c r="I52" s="339">
        <v>4.1</v>
      </c>
      <c r="J52" s="339">
        <v>4.4</v>
      </c>
      <c r="K52" s="339">
        <v>4.7</v>
      </c>
      <c r="L52" s="153">
        <v>4.6</v>
      </c>
      <c r="M52" s="153">
        <v>4.6</v>
      </c>
      <c r="N52" s="153">
        <v>4.4</v>
      </c>
      <c r="O52" s="153">
        <v>4.83</v>
      </c>
    </row>
    <row r="53" spans="1:15" s="9" customFormat="1" ht="9.75" thickBot="1">
      <c r="A53" s="569"/>
      <c r="B53" s="595"/>
      <c r="C53" s="321" t="s">
        <v>286</v>
      </c>
      <c r="D53" s="354">
        <v>4</v>
      </c>
      <c r="E53" s="350">
        <v>4</v>
      </c>
      <c r="F53" s="350">
        <v>4</v>
      </c>
      <c r="G53" s="350">
        <v>4.1</v>
      </c>
      <c r="H53" s="350">
        <v>4.1</v>
      </c>
      <c r="I53" s="350">
        <v>4.25</v>
      </c>
      <c r="J53" s="350">
        <v>4.6</v>
      </c>
      <c r="K53" s="350">
        <v>4.7</v>
      </c>
      <c r="L53" s="350">
        <v>5</v>
      </c>
      <c r="M53" s="350">
        <v>4.8</v>
      </c>
      <c r="N53" s="350">
        <v>4.85</v>
      </c>
      <c r="O53" s="350">
        <v>4.83</v>
      </c>
    </row>
    <row r="54" spans="1:15" s="9" customFormat="1" ht="9">
      <c r="A54" s="569"/>
      <c r="B54" s="594" t="s">
        <v>14</v>
      </c>
      <c r="C54" s="319" t="s">
        <v>284</v>
      </c>
      <c r="D54" s="358">
        <v>102</v>
      </c>
      <c r="E54" s="334">
        <v>102</v>
      </c>
      <c r="F54" s="338">
        <v>102</v>
      </c>
      <c r="G54" s="338">
        <v>102</v>
      </c>
      <c r="H54" s="338">
        <v>102</v>
      </c>
      <c r="I54" s="338">
        <v>102</v>
      </c>
      <c r="J54" s="338">
        <v>100</v>
      </c>
      <c r="K54" s="338">
        <v>100</v>
      </c>
      <c r="L54" s="152">
        <v>100</v>
      </c>
      <c r="M54" s="152">
        <v>100</v>
      </c>
      <c r="N54" s="152">
        <v>100</v>
      </c>
      <c r="O54" s="152">
        <v>100</v>
      </c>
    </row>
    <row r="55" spans="1:15" s="9" customFormat="1" ht="9">
      <c r="A55" s="569"/>
      <c r="B55" s="597"/>
      <c r="C55" s="325" t="s">
        <v>285</v>
      </c>
      <c r="D55" s="407">
        <v>101</v>
      </c>
      <c r="E55" s="154">
        <v>102</v>
      </c>
      <c r="F55" s="339">
        <v>102</v>
      </c>
      <c r="G55" s="339">
        <v>100</v>
      </c>
      <c r="H55" s="339">
        <v>102</v>
      </c>
      <c r="I55" s="339">
        <v>102</v>
      </c>
      <c r="J55" s="339">
        <v>100</v>
      </c>
      <c r="K55" s="339">
        <v>100</v>
      </c>
      <c r="L55" s="153">
        <v>100</v>
      </c>
      <c r="M55" s="153">
        <v>100</v>
      </c>
      <c r="N55" s="153">
        <v>100</v>
      </c>
      <c r="O55" s="153">
        <v>100</v>
      </c>
    </row>
    <row r="56" spans="1:15" s="9" customFormat="1" ht="9.75" thickBot="1">
      <c r="A56" s="569"/>
      <c r="B56" s="595"/>
      <c r="C56" s="321" t="s">
        <v>286</v>
      </c>
      <c r="D56" s="354">
        <v>102</v>
      </c>
      <c r="E56" s="350">
        <v>102</v>
      </c>
      <c r="F56" s="350">
        <v>102</v>
      </c>
      <c r="G56" s="350">
        <v>102</v>
      </c>
      <c r="H56" s="350">
        <v>102</v>
      </c>
      <c r="I56" s="350">
        <v>102</v>
      </c>
      <c r="J56" s="350">
        <v>100</v>
      </c>
      <c r="K56" s="350">
        <v>100</v>
      </c>
      <c r="L56" s="350">
        <v>100</v>
      </c>
      <c r="M56" s="350">
        <v>100</v>
      </c>
      <c r="N56" s="350">
        <v>100</v>
      </c>
      <c r="O56" s="350">
        <v>100</v>
      </c>
    </row>
    <row r="57" spans="1:15" s="9" customFormat="1" ht="9">
      <c r="A57" s="569"/>
      <c r="B57" s="594" t="s">
        <v>15</v>
      </c>
      <c r="C57" s="319" t="s">
        <v>284</v>
      </c>
      <c r="D57" s="358">
        <v>92</v>
      </c>
      <c r="E57" s="334">
        <v>90.5</v>
      </c>
      <c r="F57" s="338">
        <v>92.5</v>
      </c>
      <c r="G57" s="338">
        <v>100</v>
      </c>
      <c r="H57" s="338">
        <v>109.5</v>
      </c>
      <c r="I57" s="338">
        <v>106.8</v>
      </c>
      <c r="J57" s="338">
        <v>105.8</v>
      </c>
      <c r="K57" s="338">
        <v>105</v>
      </c>
      <c r="L57" s="152">
        <v>101</v>
      </c>
      <c r="M57" s="152">
        <v>91</v>
      </c>
      <c r="N57" s="152">
        <v>79</v>
      </c>
      <c r="O57" s="152">
        <v>75</v>
      </c>
    </row>
    <row r="58" spans="1:15" s="9" customFormat="1" ht="9">
      <c r="A58" s="569"/>
      <c r="B58" s="597"/>
      <c r="C58" s="325" t="s">
        <v>285</v>
      </c>
      <c r="D58" s="407">
        <v>82.1</v>
      </c>
      <c r="E58" s="154">
        <v>87</v>
      </c>
      <c r="F58" s="339">
        <v>88.1</v>
      </c>
      <c r="G58" s="339">
        <v>90</v>
      </c>
      <c r="H58" s="339">
        <v>93</v>
      </c>
      <c r="I58" s="339">
        <v>102</v>
      </c>
      <c r="J58" s="339">
        <v>98.6</v>
      </c>
      <c r="K58" s="339">
        <v>95.1</v>
      </c>
      <c r="L58" s="153">
        <v>89.5</v>
      </c>
      <c r="M58" s="153">
        <v>6865</v>
      </c>
      <c r="N58" s="153">
        <v>66.05</v>
      </c>
      <c r="O58" s="153">
        <v>67</v>
      </c>
    </row>
    <row r="59" spans="1:15" s="9" customFormat="1" ht="9.75" thickBot="1">
      <c r="A59" s="569"/>
      <c r="B59" s="595"/>
      <c r="C59" s="321" t="s">
        <v>286</v>
      </c>
      <c r="D59" s="354">
        <v>88.55</v>
      </c>
      <c r="E59" s="350">
        <v>88</v>
      </c>
      <c r="F59" s="350">
        <v>92.05</v>
      </c>
      <c r="G59" s="350">
        <v>96.8</v>
      </c>
      <c r="H59" s="350">
        <v>101.5</v>
      </c>
      <c r="I59" s="350">
        <v>103.3</v>
      </c>
      <c r="J59" s="350">
        <v>101.9</v>
      </c>
      <c r="K59" s="350">
        <v>100.3</v>
      </c>
      <c r="L59" s="350">
        <v>90.95</v>
      </c>
      <c r="M59" s="350">
        <v>78</v>
      </c>
      <c r="N59" s="350">
        <v>69.85</v>
      </c>
      <c r="O59" s="350">
        <v>72.85</v>
      </c>
    </row>
    <row r="60" spans="1:15" s="9" customFormat="1" ht="9">
      <c r="A60" s="569"/>
      <c r="B60" s="594" t="s">
        <v>16</v>
      </c>
      <c r="C60" s="319" t="s">
        <v>284</v>
      </c>
      <c r="D60" s="358">
        <v>84</v>
      </c>
      <c r="E60" s="334">
        <v>81.55</v>
      </c>
      <c r="F60" s="338">
        <v>81.6</v>
      </c>
      <c r="G60" s="338">
        <v>90</v>
      </c>
      <c r="H60" s="338">
        <v>87</v>
      </c>
      <c r="I60" s="338">
        <v>99.5</v>
      </c>
      <c r="J60" s="338">
        <v>100</v>
      </c>
      <c r="K60" s="338">
        <v>99.5</v>
      </c>
      <c r="L60" s="152">
        <v>96</v>
      </c>
      <c r="M60" s="152">
        <v>85</v>
      </c>
      <c r="N60" s="152">
        <v>75</v>
      </c>
      <c r="O60" s="152">
        <v>75</v>
      </c>
    </row>
    <row r="61" spans="1:15" s="9" customFormat="1" ht="9">
      <c r="A61" s="569"/>
      <c r="B61" s="597"/>
      <c r="C61" s="325" t="s">
        <v>285</v>
      </c>
      <c r="D61" s="407">
        <v>81</v>
      </c>
      <c r="E61" s="154">
        <v>81.5</v>
      </c>
      <c r="F61" s="339">
        <v>80</v>
      </c>
      <c r="G61" s="339">
        <v>83</v>
      </c>
      <c r="H61" s="339">
        <v>87</v>
      </c>
      <c r="I61" s="339">
        <v>99</v>
      </c>
      <c r="J61" s="339">
        <v>99.5</v>
      </c>
      <c r="K61" s="339">
        <v>92</v>
      </c>
      <c r="L61" s="153">
        <v>87</v>
      </c>
      <c r="M61" s="153">
        <v>83.5</v>
      </c>
      <c r="N61" s="153">
        <v>75</v>
      </c>
      <c r="O61" s="153">
        <v>70</v>
      </c>
    </row>
    <row r="62" spans="1:15" s="9" customFormat="1" ht="9.75" thickBot="1">
      <c r="A62" s="569"/>
      <c r="B62" s="595"/>
      <c r="C62" s="321" t="s">
        <v>286</v>
      </c>
      <c r="D62" s="354">
        <v>81</v>
      </c>
      <c r="E62" s="350">
        <v>81.55</v>
      </c>
      <c r="F62" s="350">
        <v>80</v>
      </c>
      <c r="G62" s="350">
        <v>89.55</v>
      </c>
      <c r="H62" s="350">
        <v>87</v>
      </c>
      <c r="I62" s="350">
        <v>99.5</v>
      </c>
      <c r="J62" s="350">
        <v>99.5</v>
      </c>
      <c r="K62" s="350">
        <v>96</v>
      </c>
      <c r="L62" s="350">
        <v>90</v>
      </c>
      <c r="M62" s="350">
        <v>93.5</v>
      </c>
      <c r="N62" s="350">
        <v>75</v>
      </c>
      <c r="O62" s="350">
        <v>74.75</v>
      </c>
    </row>
    <row r="63" spans="1:15" s="9" customFormat="1" ht="9">
      <c r="A63" s="569"/>
      <c r="B63" s="594" t="s">
        <v>17</v>
      </c>
      <c r="C63" s="319" t="s">
        <v>284</v>
      </c>
      <c r="D63" s="358">
        <v>102</v>
      </c>
      <c r="E63" s="334">
        <v>102</v>
      </c>
      <c r="F63" s="338">
        <v>102</v>
      </c>
      <c r="G63" s="338">
        <v>102</v>
      </c>
      <c r="H63" s="338">
        <v>102</v>
      </c>
      <c r="I63" s="430"/>
      <c r="J63" s="430"/>
      <c r="K63" s="430"/>
      <c r="L63" s="430"/>
      <c r="M63" s="430"/>
      <c r="N63" s="430"/>
      <c r="O63" s="430"/>
    </row>
    <row r="64" spans="1:15" s="9" customFormat="1" ht="9">
      <c r="A64" s="569"/>
      <c r="B64" s="597"/>
      <c r="C64" s="325" t="s">
        <v>285</v>
      </c>
      <c r="D64" s="407">
        <v>102</v>
      </c>
      <c r="E64" s="154">
        <v>102</v>
      </c>
      <c r="F64" s="339">
        <v>102</v>
      </c>
      <c r="G64" s="339">
        <v>102</v>
      </c>
      <c r="H64" s="339">
        <v>102</v>
      </c>
      <c r="I64" s="431"/>
      <c r="J64" s="431"/>
      <c r="K64" s="431"/>
      <c r="L64" s="431"/>
      <c r="M64" s="431"/>
      <c r="N64" s="431"/>
      <c r="O64" s="431"/>
    </row>
    <row r="65" spans="1:15" s="9" customFormat="1" ht="9.75" thickBot="1">
      <c r="A65" s="569"/>
      <c r="B65" s="595"/>
      <c r="C65" s="321" t="s">
        <v>286</v>
      </c>
      <c r="D65" s="354">
        <v>102</v>
      </c>
      <c r="E65" s="350">
        <v>102</v>
      </c>
      <c r="F65" s="350">
        <v>102</v>
      </c>
      <c r="G65" s="350">
        <v>102</v>
      </c>
      <c r="H65" s="350">
        <v>102</v>
      </c>
      <c r="I65" s="429"/>
      <c r="J65" s="429"/>
      <c r="K65" s="429"/>
      <c r="L65" s="429"/>
      <c r="M65" s="429"/>
      <c r="N65" s="429"/>
      <c r="O65" s="429"/>
    </row>
    <row r="66" spans="1:15" s="9" customFormat="1" ht="9">
      <c r="A66" s="569"/>
      <c r="B66" s="594" t="s">
        <v>18</v>
      </c>
      <c r="C66" s="319" t="s">
        <v>284</v>
      </c>
      <c r="D66" s="358">
        <v>101</v>
      </c>
      <c r="E66" s="334">
        <v>101</v>
      </c>
      <c r="F66" s="338">
        <v>101.2</v>
      </c>
      <c r="G66" s="338">
        <v>101.2</v>
      </c>
      <c r="H66" s="338">
        <v>101.2</v>
      </c>
      <c r="I66" s="338">
        <v>103</v>
      </c>
      <c r="J66" s="338">
        <v>101.5</v>
      </c>
      <c r="K66" s="338">
        <v>101</v>
      </c>
      <c r="L66" s="152">
        <v>101</v>
      </c>
      <c r="M66" s="152">
        <v>101</v>
      </c>
      <c r="N66" s="152">
        <v>101</v>
      </c>
      <c r="O66" s="152">
        <v>101</v>
      </c>
    </row>
    <row r="67" spans="1:15" s="9" customFormat="1" ht="9">
      <c r="A67" s="569"/>
      <c r="B67" s="597"/>
      <c r="C67" s="325" t="s">
        <v>285</v>
      </c>
      <c r="D67" s="407">
        <v>101</v>
      </c>
      <c r="E67" s="154">
        <v>101</v>
      </c>
      <c r="F67" s="339">
        <v>101.2</v>
      </c>
      <c r="G67" s="339">
        <v>101.2</v>
      </c>
      <c r="H67" s="339">
        <v>101.2</v>
      </c>
      <c r="I67" s="339">
        <v>101.2</v>
      </c>
      <c r="J67" s="339">
        <v>101.5</v>
      </c>
      <c r="K67" s="339">
        <v>100.7</v>
      </c>
      <c r="L67" s="153">
        <v>101</v>
      </c>
      <c r="M67" s="153">
        <v>101</v>
      </c>
      <c r="N67" s="153">
        <v>101</v>
      </c>
      <c r="O67" s="153">
        <v>101</v>
      </c>
    </row>
    <row r="68" spans="1:15" s="9" customFormat="1" ht="9.75" thickBot="1">
      <c r="A68" s="569"/>
      <c r="B68" s="595"/>
      <c r="C68" s="321" t="s">
        <v>286</v>
      </c>
      <c r="D68" s="354">
        <v>101</v>
      </c>
      <c r="E68" s="350">
        <v>101</v>
      </c>
      <c r="F68" s="350">
        <v>101.2</v>
      </c>
      <c r="G68" s="350">
        <v>101.2</v>
      </c>
      <c r="H68" s="350">
        <v>101.2</v>
      </c>
      <c r="I68" s="350">
        <v>101.5</v>
      </c>
      <c r="J68" s="350">
        <v>101.5</v>
      </c>
      <c r="K68" s="350">
        <v>101</v>
      </c>
      <c r="L68" s="350">
        <v>101</v>
      </c>
      <c r="M68" s="350">
        <v>101</v>
      </c>
      <c r="N68" s="350">
        <v>101</v>
      </c>
      <c r="O68" s="350">
        <v>101</v>
      </c>
    </row>
    <row r="69" spans="1:15" s="9" customFormat="1" ht="9">
      <c r="A69" s="569"/>
      <c r="B69" s="594" t="s">
        <v>19</v>
      </c>
      <c r="C69" s="319" t="s">
        <v>284</v>
      </c>
      <c r="D69" s="358">
        <v>101.2</v>
      </c>
      <c r="E69" s="334">
        <v>101.2</v>
      </c>
      <c r="F69" s="338">
        <v>101.2</v>
      </c>
      <c r="G69" s="338">
        <v>101.2</v>
      </c>
      <c r="H69" s="338">
        <v>101.2</v>
      </c>
      <c r="I69" s="338">
        <v>101.2</v>
      </c>
      <c r="J69" s="338">
        <v>101.5</v>
      </c>
      <c r="K69" s="338">
        <v>101.7</v>
      </c>
      <c r="L69" s="152">
        <v>101.7</v>
      </c>
      <c r="M69" s="152">
        <v>101.7</v>
      </c>
      <c r="N69" s="152">
        <v>101.7</v>
      </c>
      <c r="O69" s="152">
        <v>101.7</v>
      </c>
    </row>
    <row r="70" spans="1:15" s="9" customFormat="1" ht="9">
      <c r="A70" s="569"/>
      <c r="B70" s="597"/>
      <c r="C70" s="325" t="s">
        <v>285</v>
      </c>
      <c r="D70" s="407">
        <v>101.2</v>
      </c>
      <c r="E70" s="154">
        <v>101.2</v>
      </c>
      <c r="F70" s="339">
        <v>101.2</v>
      </c>
      <c r="G70" s="339">
        <v>101.2</v>
      </c>
      <c r="H70" s="339">
        <v>101.2</v>
      </c>
      <c r="I70" s="339">
        <v>101.2</v>
      </c>
      <c r="J70" s="339">
        <v>101.2</v>
      </c>
      <c r="K70" s="339">
        <v>101.5</v>
      </c>
      <c r="L70" s="153">
        <v>101.7</v>
      </c>
      <c r="M70" s="153">
        <v>101.7</v>
      </c>
      <c r="N70" s="153">
        <v>101.7</v>
      </c>
      <c r="O70" s="153">
        <v>101.7</v>
      </c>
    </row>
    <row r="71" spans="1:15" s="9" customFormat="1" ht="9.75" thickBot="1">
      <c r="A71" s="570"/>
      <c r="B71" s="595"/>
      <c r="C71" s="321" t="s">
        <v>286</v>
      </c>
      <c r="D71" s="354">
        <v>101.2</v>
      </c>
      <c r="E71" s="350">
        <v>101.2</v>
      </c>
      <c r="F71" s="350">
        <v>101.2</v>
      </c>
      <c r="G71" s="350">
        <v>101.2</v>
      </c>
      <c r="H71" s="350">
        <v>101.2</v>
      </c>
      <c r="I71" s="350">
        <v>101.2</v>
      </c>
      <c r="J71" s="350">
        <v>101.5</v>
      </c>
      <c r="K71" s="350">
        <v>101.7</v>
      </c>
      <c r="L71" s="350">
        <v>101.7</v>
      </c>
      <c r="M71" s="350">
        <v>101.7</v>
      </c>
      <c r="N71" s="350">
        <v>101.7</v>
      </c>
      <c r="O71" s="350">
        <v>101.7</v>
      </c>
    </row>
    <row r="72" spans="1:15" s="9" customFormat="1" ht="11.25">
      <c r="A72" s="289"/>
      <c r="B72" s="290"/>
      <c r="C72" s="380"/>
      <c r="D72" s="363"/>
      <c r="E72" s="363"/>
      <c r="F72" s="363"/>
      <c r="G72" s="363"/>
      <c r="H72" s="363"/>
      <c r="I72" s="363"/>
      <c r="J72" s="363"/>
      <c r="K72" s="363"/>
      <c r="L72" s="363"/>
      <c r="M72" s="363"/>
      <c r="N72" s="363"/>
      <c r="O72" s="363"/>
    </row>
    <row r="73" spans="1:15" s="9" customFormat="1" ht="11.25">
      <c r="A73" s="289"/>
      <c r="B73" s="290"/>
      <c r="C73" s="380"/>
      <c r="D73" s="363"/>
      <c r="E73" s="363"/>
      <c r="F73" s="363"/>
      <c r="G73" s="363"/>
      <c r="H73" s="363"/>
      <c r="I73" s="363"/>
      <c r="J73" s="363"/>
      <c r="K73" s="363"/>
      <c r="L73" s="363"/>
      <c r="M73" s="363"/>
      <c r="N73" s="363"/>
      <c r="O73" s="363"/>
    </row>
    <row r="74" spans="1:21" s="11" customFormat="1" ht="19.5" customHeight="1">
      <c r="A74" s="414" t="s">
        <v>287</v>
      </c>
      <c r="B74" s="414"/>
      <c r="C74" s="414"/>
      <c r="D74" s="414"/>
      <c r="E74" s="414"/>
      <c r="F74" s="414"/>
      <c r="G74" s="414"/>
      <c r="H74" s="414"/>
      <c r="I74" s="414"/>
      <c r="J74" s="414"/>
      <c r="K74" s="414"/>
      <c r="L74" s="414"/>
      <c r="M74" s="414"/>
      <c r="N74" s="414"/>
      <c r="O74" s="414"/>
      <c r="P74" s="413"/>
      <c r="Q74" s="413"/>
      <c r="R74" s="413"/>
      <c r="S74" s="413"/>
      <c r="T74" s="413"/>
      <c r="U74" s="413"/>
    </row>
    <row r="75" spans="1:21" ht="12.75">
      <c r="A75" s="14" t="s">
        <v>189</v>
      </c>
      <c r="M75" s="21"/>
      <c r="N75" s="13"/>
      <c r="O75" s="13"/>
      <c r="P75" s="2"/>
      <c r="Q75" s="2"/>
      <c r="R75" s="2"/>
      <c r="S75" s="2"/>
      <c r="T75" s="2"/>
      <c r="U75" s="2"/>
    </row>
    <row r="76" spans="1:21" ht="6.75" customHeight="1" thickBot="1">
      <c r="A76" s="14"/>
      <c r="M76" s="21"/>
      <c r="N76" s="13"/>
      <c r="O76" s="13"/>
      <c r="P76" s="2"/>
      <c r="Q76" s="2"/>
      <c r="R76" s="2"/>
      <c r="S76" s="2"/>
      <c r="T76" s="2"/>
      <c r="U76" s="2"/>
    </row>
    <row r="77" spans="1:21" ht="13.5" thickBot="1">
      <c r="A77" s="14"/>
      <c r="D77" s="458">
        <v>2008</v>
      </c>
      <c r="E77" s="458"/>
      <c r="F77" s="458"/>
      <c r="G77" s="458"/>
      <c r="H77" s="458"/>
      <c r="I77" s="458"/>
      <c r="J77" s="458"/>
      <c r="K77" s="458"/>
      <c r="L77" s="458"/>
      <c r="M77" s="458"/>
      <c r="N77" s="458"/>
      <c r="O77" s="458"/>
      <c r="P77" s="2"/>
      <c r="Q77" s="2"/>
      <c r="R77" s="2"/>
      <c r="S77" s="2"/>
      <c r="T77" s="2"/>
      <c r="U77" s="2"/>
    </row>
    <row r="78" spans="1:15" ht="48" thickBot="1">
      <c r="A78" s="182" t="s">
        <v>227</v>
      </c>
      <c r="B78" s="88" t="s">
        <v>228</v>
      </c>
      <c r="C78" s="371" t="s">
        <v>283</v>
      </c>
      <c r="D78" s="67" t="s">
        <v>304</v>
      </c>
      <c r="E78" s="67" t="s">
        <v>305</v>
      </c>
      <c r="F78" s="67" t="s">
        <v>306</v>
      </c>
      <c r="G78" s="67" t="s">
        <v>307</v>
      </c>
      <c r="H78" s="67" t="s">
        <v>308</v>
      </c>
      <c r="I78" s="67" t="s">
        <v>309</v>
      </c>
      <c r="J78" s="67" t="s">
        <v>310</v>
      </c>
      <c r="K78" s="67" t="s">
        <v>311</v>
      </c>
      <c r="L78" s="67" t="s">
        <v>312</v>
      </c>
      <c r="M78" s="67" t="s">
        <v>313</v>
      </c>
      <c r="N78" s="67" t="s">
        <v>314</v>
      </c>
      <c r="O78" s="67" t="s">
        <v>315</v>
      </c>
    </row>
    <row r="79" spans="1:15" s="9" customFormat="1" ht="9">
      <c r="A79" s="557" t="s">
        <v>195</v>
      </c>
      <c r="B79" s="594" t="s">
        <v>20</v>
      </c>
      <c r="C79" s="319" t="s">
        <v>284</v>
      </c>
      <c r="D79" s="358">
        <v>1.35</v>
      </c>
      <c r="E79" s="334">
        <v>1.35</v>
      </c>
      <c r="F79" s="338">
        <v>1.5</v>
      </c>
      <c r="G79" s="338">
        <v>1.65</v>
      </c>
      <c r="H79" s="338">
        <v>1.65</v>
      </c>
      <c r="I79" s="338">
        <v>1.65</v>
      </c>
      <c r="J79" s="338">
        <v>1.65</v>
      </c>
      <c r="K79" s="338">
        <v>1.8</v>
      </c>
      <c r="L79" s="152">
        <v>1.87</v>
      </c>
      <c r="M79" s="152">
        <v>2</v>
      </c>
      <c r="N79" s="152">
        <v>1.86</v>
      </c>
      <c r="O79" s="152">
        <v>2.1</v>
      </c>
    </row>
    <row r="80" spans="1:15" s="9" customFormat="1" ht="9">
      <c r="A80" s="558"/>
      <c r="B80" s="597"/>
      <c r="C80" s="325" t="s">
        <v>285</v>
      </c>
      <c r="D80" s="407">
        <v>1.35</v>
      </c>
      <c r="E80" s="154">
        <v>1.35</v>
      </c>
      <c r="F80" s="339">
        <v>1.5</v>
      </c>
      <c r="G80" s="339">
        <v>3.65</v>
      </c>
      <c r="H80" s="339">
        <v>1.65</v>
      </c>
      <c r="I80" s="339">
        <v>1.65</v>
      </c>
      <c r="J80" s="339">
        <v>1.65</v>
      </c>
      <c r="K80" s="339">
        <v>1.65</v>
      </c>
      <c r="L80" s="153">
        <v>1.85</v>
      </c>
      <c r="M80" s="153">
        <v>1.85</v>
      </c>
      <c r="N80" s="153">
        <v>1.86</v>
      </c>
      <c r="O80" s="153">
        <v>2.1</v>
      </c>
    </row>
    <row r="81" spans="1:15" s="9" customFormat="1" ht="9.75" thickBot="1">
      <c r="A81" s="558"/>
      <c r="B81" s="595"/>
      <c r="C81" s="321" t="s">
        <v>286</v>
      </c>
      <c r="D81" s="354">
        <v>1.35</v>
      </c>
      <c r="E81" s="350">
        <v>1.35</v>
      </c>
      <c r="F81" s="350">
        <v>1.5</v>
      </c>
      <c r="G81" s="350">
        <v>1.65</v>
      </c>
      <c r="H81" s="350">
        <v>1.65</v>
      </c>
      <c r="I81" s="350">
        <v>1.65</v>
      </c>
      <c r="J81" s="350">
        <v>1.65</v>
      </c>
      <c r="K81" s="350">
        <v>1.65</v>
      </c>
      <c r="L81" s="350">
        <v>1.85</v>
      </c>
      <c r="M81" s="350">
        <v>2</v>
      </c>
      <c r="N81" s="350">
        <v>1.86</v>
      </c>
      <c r="O81" s="350">
        <v>2.1</v>
      </c>
    </row>
    <row r="82" spans="1:15" s="9" customFormat="1" ht="9">
      <c r="A82" s="558"/>
      <c r="B82" s="594" t="s">
        <v>288</v>
      </c>
      <c r="C82" s="319" t="s">
        <v>284</v>
      </c>
      <c r="D82" s="358">
        <v>21</v>
      </c>
      <c r="E82" s="334">
        <v>20</v>
      </c>
      <c r="F82" s="338">
        <v>19.9</v>
      </c>
      <c r="G82" s="338">
        <v>21</v>
      </c>
      <c r="H82" s="338">
        <v>25.1</v>
      </c>
      <c r="I82" s="338">
        <v>22.7</v>
      </c>
      <c r="J82" s="338">
        <v>22.39</v>
      </c>
      <c r="K82" s="338">
        <v>20.1</v>
      </c>
      <c r="L82" s="152">
        <v>19</v>
      </c>
      <c r="M82" s="152">
        <v>17</v>
      </c>
      <c r="N82" s="152">
        <v>15.5</v>
      </c>
      <c r="O82" s="152">
        <v>16.18</v>
      </c>
    </row>
    <row r="83" spans="1:15" s="9" customFormat="1" ht="9">
      <c r="A83" s="558"/>
      <c r="B83" s="597"/>
      <c r="C83" s="325" t="s">
        <v>285</v>
      </c>
      <c r="D83" s="407">
        <v>19.1</v>
      </c>
      <c r="E83" s="154">
        <v>19.25</v>
      </c>
      <c r="F83" s="339">
        <v>19.4</v>
      </c>
      <c r="G83" s="339">
        <v>19.1</v>
      </c>
      <c r="H83" s="339">
        <v>19.03</v>
      </c>
      <c r="I83" s="339">
        <v>21</v>
      </c>
      <c r="J83" s="339">
        <v>21.1</v>
      </c>
      <c r="K83" s="339">
        <v>20</v>
      </c>
      <c r="L83" s="153">
        <v>17.6</v>
      </c>
      <c r="M83" s="153">
        <v>14.5</v>
      </c>
      <c r="N83" s="153">
        <v>14.5</v>
      </c>
      <c r="O83" s="153">
        <v>14.5</v>
      </c>
    </row>
    <row r="84" spans="1:15" s="9" customFormat="1" ht="9.75" thickBot="1">
      <c r="A84" s="558"/>
      <c r="B84" s="595"/>
      <c r="C84" s="321" t="s">
        <v>286</v>
      </c>
      <c r="D84" s="354">
        <v>19.96</v>
      </c>
      <c r="E84" s="350">
        <v>19.42</v>
      </c>
      <c r="F84" s="350">
        <v>19.75</v>
      </c>
      <c r="G84" s="350">
        <v>21</v>
      </c>
      <c r="H84" s="350">
        <v>22.14</v>
      </c>
      <c r="I84" s="350">
        <v>21.63</v>
      </c>
      <c r="J84" s="350">
        <v>21.2</v>
      </c>
      <c r="K84" s="350">
        <v>20.01</v>
      </c>
      <c r="L84" s="350">
        <v>18</v>
      </c>
      <c r="M84" s="350">
        <v>14.88</v>
      </c>
      <c r="N84" s="350">
        <v>14.75</v>
      </c>
      <c r="O84" s="350">
        <v>15.93</v>
      </c>
    </row>
    <row r="85" spans="1:15" s="9" customFormat="1" ht="9">
      <c r="A85" s="558"/>
      <c r="B85" s="594" t="s">
        <v>196</v>
      </c>
      <c r="C85" s="319" t="s">
        <v>284</v>
      </c>
      <c r="D85" s="358">
        <v>1.8</v>
      </c>
      <c r="E85" s="334">
        <v>1.9</v>
      </c>
      <c r="F85" s="338">
        <v>1.9</v>
      </c>
      <c r="G85" s="338">
        <v>1.9</v>
      </c>
      <c r="H85" s="338">
        <v>2.06</v>
      </c>
      <c r="I85" s="338">
        <v>2.08</v>
      </c>
      <c r="J85" s="338">
        <v>2.15</v>
      </c>
      <c r="K85" s="338">
        <v>2.15</v>
      </c>
      <c r="L85" s="152">
        <v>1.9</v>
      </c>
      <c r="M85" s="152">
        <v>2</v>
      </c>
      <c r="N85" s="152">
        <v>2</v>
      </c>
      <c r="O85" s="152">
        <v>2.1</v>
      </c>
    </row>
    <row r="86" spans="1:15" s="9" customFormat="1" ht="9">
      <c r="A86" s="558"/>
      <c r="B86" s="597"/>
      <c r="C86" s="325" t="s">
        <v>285</v>
      </c>
      <c r="D86" s="407">
        <v>1.8</v>
      </c>
      <c r="E86" s="154">
        <v>1.9</v>
      </c>
      <c r="F86" s="339">
        <v>1.9</v>
      </c>
      <c r="G86" s="339">
        <v>1.9</v>
      </c>
      <c r="H86" s="339">
        <v>1.9</v>
      </c>
      <c r="I86" s="339">
        <v>2.04</v>
      </c>
      <c r="J86" s="339">
        <v>2.15</v>
      </c>
      <c r="K86" s="339">
        <v>2.15</v>
      </c>
      <c r="L86" s="153">
        <v>1.9</v>
      </c>
      <c r="M86" s="153">
        <v>1.9</v>
      </c>
      <c r="N86" s="153">
        <v>2</v>
      </c>
      <c r="O86" s="153">
        <v>2</v>
      </c>
    </row>
    <row r="87" spans="1:15" s="9" customFormat="1" ht="9.75" thickBot="1">
      <c r="A87" s="558"/>
      <c r="B87" s="595"/>
      <c r="C87" s="321" t="s">
        <v>286</v>
      </c>
      <c r="D87" s="354">
        <v>1.8</v>
      </c>
      <c r="E87" s="350">
        <v>1.9</v>
      </c>
      <c r="F87" s="350">
        <v>1.9</v>
      </c>
      <c r="G87" s="350">
        <v>1.9</v>
      </c>
      <c r="H87" s="350">
        <v>2.05</v>
      </c>
      <c r="I87" s="350">
        <v>2.06</v>
      </c>
      <c r="J87" s="350">
        <v>2.15</v>
      </c>
      <c r="K87" s="350">
        <v>2.15</v>
      </c>
      <c r="L87" s="350">
        <v>1.9</v>
      </c>
      <c r="M87" s="350">
        <v>2</v>
      </c>
      <c r="N87" s="350">
        <v>2</v>
      </c>
      <c r="O87" s="350">
        <v>2.09</v>
      </c>
    </row>
    <row r="88" spans="1:15" s="9" customFormat="1" ht="9">
      <c r="A88" s="558"/>
      <c r="B88" s="594" t="s">
        <v>250</v>
      </c>
      <c r="C88" s="319" t="s">
        <v>284</v>
      </c>
      <c r="D88" s="358">
        <v>1.4</v>
      </c>
      <c r="E88" s="334">
        <v>1.4</v>
      </c>
      <c r="F88" s="334">
        <v>1.4</v>
      </c>
      <c r="G88" s="334">
        <v>1.4</v>
      </c>
      <c r="H88" s="338">
        <v>1.4</v>
      </c>
      <c r="I88" s="338">
        <v>1.9</v>
      </c>
      <c r="J88" s="338">
        <v>1.9</v>
      </c>
      <c r="K88" s="338">
        <v>1.9</v>
      </c>
      <c r="L88" s="338">
        <v>1.9</v>
      </c>
      <c r="M88" s="338">
        <v>1.9</v>
      </c>
      <c r="N88" s="338">
        <v>1.9</v>
      </c>
      <c r="O88" s="152">
        <v>1.9</v>
      </c>
    </row>
    <row r="89" spans="1:15" s="9" customFormat="1" ht="9">
      <c r="A89" s="558"/>
      <c r="B89" s="597"/>
      <c r="C89" s="325" t="s">
        <v>285</v>
      </c>
      <c r="D89" s="407">
        <v>1.4</v>
      </c>
      <c r="E89" s="154">
        <v>1.4</v>
      </c>
      <c r="F89" s="154">
        <v>1.4</v>
      </c>
      <c r="G89" s="154">
        <v>1.4</v>
      </c>
      <c r="H89" s="339">
        <v>1.4</v>
      </c>
      <c r="I89" s="339">
        <v>1.9</v>
      </c>
      <c r="J89" s="339">
        <v>1.9</v>
      </c>
      <c r="K89" s="339">
        <v>1.9</v>
      </c>
      <c r="L89" s="339">
        <v>1.9</v>
      </c>
      <c r="M89" s="339">
        <v>1.9</v>
      </c>
      <c r="N89" s="339">
        <v>1.9</v>
      </c>
      <c r="O89" s="153">
        <v>1.9</v>
      </c>
    </row>
    <row r="90" spans="1:15" s="9" customFormat="1" ht="9.75" thickBot="1">
      <c r="A90" s="558"/>
      <c r="B90" s="597"/>
      <c r="C90" s="321" t="s">
        <v>286</v>
      </c>
      <c r="D90" s="354">
        <v>1.4</v>
      </c>
      <c r="E90" s="350">
        <v>1.4</v>
      </c>
      <c r="F90" s="350">
        <v>1.4</v>
      </c>
      <c r="G90" s="350">
        <v>1.4</v>
      </c>
      <c r="H90" s="350">
        <v>1.4</v>
      </c>
      <c r="I90" s="350">
        <v>1.9</v>
      </c>
      <c r="J90" s="350">
        <v>1.9</v>
      </c>
      <c r="K90" s="350">
        <v>1.9</v>
      </c>
      <c r="L90" s="350">
        <v>1.9</v>
      </c>
      <c r="M90" s="350">
        <v>1.9</v>
      </c>
      <c r="N90" s="350">
        <v>1.9</v>
      </c>
      <c r="O90" s="350">
        <v>1.9</v>
      </c>
    </row>
    <row r="91" spans="1:15" s="9" customFormat="1" ht="9">
      <c r="A91" s="558"/>
      <c r="B91" s="594" t="s">
        <v>198</v>
      </c>
      <c r="C91" s="319" t="s">
        <v>284</v>
      </c>
      <c r="D91" s="358">
        <v>0.45</v>
      </c>
      <c r="E91" s="334">
        <v>0.45</v>
      </c>
      <c r="F91" s="334">
        <v>0.45</v>
      </c>
      <c r="G91" s="334">
        <v>0.45</v>
      </c>
      <c r="H91" s="334">
        <v>0.45</v>
      </c>
      <c r="I91" s="334">
        <v>0.45</v>
      </c>
      <c r="J91" s="334">
        <v>0.45</v>
      </c>
      <c r="K91" s="334">
        <v>0.45</v>
      </c>
      <c r="L91" s="334">
        <v>0.45</v>
      </c>
      <c r="M91" s="334">
        <v>0.45</v>
      </c>
      <c r="N91" s="334">
        <v>0.45</v>
      </c>
      <c r="O91" s="152">
        <v>0.11</v>
      </c>
    </row>
    <row r="92" spans="1:15" s="9" customFormat="1" ht="9">
      <c r="A92" s="558"/>
      <c r="B92" s="597"/>
      <c r="C92" s="325" t="s">
        <v>285</v>
      </c>
      <c r="D92" s="407">
        <v>0.45</v>
      </c>
      <c r="E92" s="154">
        <v>0.45</v>
      </c>
      <c r="F92" s="154">
        <v>0.45</v>
      </c>
      <c r="G92" s="154">
        <v>0.45</v>
      </c>
      <c r="H92" s="154">
        <v>0.45</v>
      </c>
      <c r="I92" s="154">
        <v>0.45</v>
      </c>
      <c r="J92" s="154">
        <v>0.45</v>
      </c>
      <c r="K92" s="154">
        <v>0.45</v>
      </c>
      <c r="L92" s="154">
        <v>0.45</v>
      </c>
      <c r="M92" s="154">
        <v>0.45</v>
      </c>
      <c r="N92" s="154">
        <v>0.45</v>
      </c>
      <c r="O92" s="153">
        <v>0.11</v>
      </c>
    </row>
    <row r="93" spans="1:15" s="9" customFormat="1" ht="9.75" thickBot="1">
      <c r="A93" s="558"/>
      <c r="B93" s="595"/>
      <c r="C93" s="321" t="s">
        <v>286</v>
      </c>
      <c r="D93" s="354">
        <v>0.45</v>
      </c>
      <c r="E93" s="350">
        <v>0.45</v>
      </c>
      <c r="F93" s="350">
        <v>0.45</v>
      </c>
      <c r="G93" s="350">
        <v>0.45</v>
      </c>
      <c r="H93" s="350">
        <v>0.45</v>
      </c>
      <c r="I93" s="350">
        <v>0.45</v>
      </c>
      <c r="J93" s="350">
        <v>0.45</v>
      </c>
      <c r="K93" s="350">
        <v>0.45</v>
      </c>
      <c r="L93" s="350">
        <v>0.45</v>
      </c>
      <c r="M93" s="350">
        <v>0.45</v>
      </c>
      <c r="N93" s="350">
        <v>0.45</v>
      </c>
      <c r="O93" s="350">
        <v>0.11</v>
      </c>
    </row>
    <row r="94" spans="1:15" s="9" customFormat="1" ht="9">
      <c r="A94" s="558"/>
      <c r="B94" s="594" t="s">
        <v>210</v>
      </c>
      <c r="C94" s="319" t="s">
        <v>284</v>
      </c>
      <c r="D94" s="358">
        <v>1.7</v>
      </c>
      <c r="E94" s="334">
        <v>1.7</v>
      </c>
      <c r="F94" s="334">
        <v>1.7</v>
      </c>
      <c r="G94" s="334">
        <v>1.7</v>
      </c>
      <c r="H94" s="334">
        <v>1.7</v>
      </c>
      <c r="I94" s="334">
        <v>1.7</v>
      </c>
      <c r="J94" s="334">
        <v>1.7</v>
      </c>
      <c r="K94" s="334">
        <v>1.7</v>
      </c>
      <c r="L94" s="334">
        <v>1.7</v>
      </c>
      <c r="M94" s="334">
        <v>1.7</v>
      </c>
      <c r="N94" s="334">
        <v>1.7</v>
      </c>
      <c r="O94" s="152">
        <v>1.7</v>
      </c>
    </row>
    <row r="95" spans="1:15" s="9" customFormat="1" ht="9">
      <c r="A95" s="558"/>
      <c r="B95" s="597"/>
      <c r="C95" s="325" t="s">
        <v>285</v>
      </c>
      <c r="D95" s="407">
        <v>1.7</v>
      </c>
      <c r="E95" s="154">
        <v>1.7</v>
      </c>
      <c r="F95" s="154">
        <v>1.7</v>
      </c>
      <c r="G95" s="154">
        <v>1.7</v>
      </c>
      <c r="H95" s="154">
        <v>1.7</v>
      </c>
      <c r="I95" s="154">
        <v>1.7</v>
      </c>
      <c r="J95" s="154">
        <v>1.7</v>
      </c>
      <c r="K95" s="154">
        <v>1.7</v>
      </c>
      <c r="L95" s="154">
        <v>1.7</v>
      </c>
      <c r="M95" s="154">
        <v>1.7</v>
      </c>
      <c r="N95" s="154">
        <v>1.7</v>
      </c>
      <c r="O95" s="153">
        <v>1.7</v>
      </c>
    </row>
    <row r="96" spans="1:15" s="9" customFormat="1" ht="9.75" thickBot="1">
      <c r="A96" s="559"/>
      <c r="B96" s="595"/>
      <c r="C96" s="321" t="s">
        <v>286</v>
      </c>
      <c r="D96" s="354">
        <v>1.7</v>
      </c>
      <c r="E96" s="350">
        <v>1.7</v>
      </c>
      <c r="F96" s="350">
        <v>1.7</v>
      </c>
      <c r="G96" s="350">
        <v>1.7</v>
      </c>
      <c r="H96" s="350">
        <v>1.7</v>
      </c>
      <c r="I96" s="350">
        <v>1.7</v>
      </c>
      <c r="J96" s="350">
        <v>1.7</v>
      </c>
      <c r="K96" s="350">
        <v>1.7</v>
      </c>
      <c r="L96" s="350">
        <v>1.7</v>
      </c>
      <c r="M96" s="350">
        <v>1.7</v>
      </c>
      <c r="N96" s="350">
        <v>1.7</v>
      </c>
      <c r="O96" s="350">
        <v>1.7</v>
      </c>
    </row>
    <row r="97" spans="1:15" s="9" customFormat="1" ht="9">
      <c r="A97" s="557" t="s">
        <v>200</v>
      </c>
      <c r="B97" s="594" t="s">
        <v>289</v>
      </c>
      <c r="C97" s="319" t="s">
        <v>284</v>
      </c>
      <c r="D97" s="358">
        <v>101</v>
      </c>
      <c r="E97" s="334">
        <v>102</v>
      </c>
      <c r="F97" s="338">
        <v>102.8</v>
      </c>
      <c r="G97" s="338">
        <v>103.5</v>
      </c>
      <c r="H97" s="338">
        <v>103.5</v>
      </c>
      <c r="I97" s="338">
        <v>103.5</v>
      </c>
      <c r="J97" s="338">
        <v>105.5</v>
      </c>
      <c r="K97" s="424"/>
      <c r="L97" s="424"/>
      <c r="M97" s="424"/>
      <c r="N97" s="424"/>
      <c r="O97" s="424"/>
    </row>
    <row r="98" spans="1:15" s="9" customFormat="1" ht="9">
      <c r="A98" s="558"/>
      <c r="B98" s="597"/>
      <c r="C98" s="325" t="s">
        <v>285</v>
      </c>
      <c r="D98" s="407">
        <v>101</v>
      </c>
      <c r="E98" s="154">
        <v>102</v>
      </c>
      <c r="F98" s="339">
        <v>102.8</v>
      </c>
      <c r="G98" s="339">
        <v>102.8</v>
      </c>
      <c r="H98" s="339">
        <v>103.5</v>
      </c>
      <c r="I98" s="339">
        <v>103.5</v>
      </c>
      <c r="J98" s="339">
        <v>105</v>
      </c>
      <c r="K98" s="427"/>
      <c r="L98" s="427"/>
      <c r="M98" s="427"/>
      <c r="N98" s="427"/>
      <c r="O98" s="427"/>
    </row>
    <row r="99" spans="1:15" s="9" customFormat="1" ht="9.75" thickBot="1">
      <c r="A99" s="558"/>
      <c r="B99" s="595"/>
      <c r="C99" s="321" t="s">
        <v>286</v>
      </c>
      <c r="D99" s="354">
        <v>101</v>
      </c>
      <c r="E99" s="350">
        <v>102</v>
      </c>
      <c r="F99" s="350">
        <v>102.8</v>
      </c>
      <c r="G99" s="350">
        <v>103.5</v>
      </c>
      <c r="H99" s="350">
        <v>103.5</v>
      </c>
      <c r="I99" s="350">
        <v>103.5</v>
      </c>
      <c r="J99" s="429"/>
      <c r="K99" s="429"/>
      <c r="L99" s="429"/>
      <c r="M99" s="429"/>
      <c r="N99" s="429"/>
      <c r="O99" s="429"/>
    </row>
    <row r="100" spans="1:15" s="9" customFormat="1" ht="9">
      <c r="A100" s="558"/>
      <c r="B100" s="594" t="s">
        <v>292</v>
      </c>
      <c r="C100" s="319" t="s">
        <v>284</v>
      </c>
      <c r="D100" s="358">
        <v>100.2</v>
      </c>
      <c r="E100" s="334">
        <v>100.5</v>
      </c>
      <c r="F100" s="338">
        <v>100.5</v>
      </c>
      <c r="G100" s="338">
        <v>101</v>
      </c>
      <c r="H100" s="338">
        <v>101</v>
      </c>
      <c r="I100" s="338">
        <v>103.8</v>
      </c>
      <c r="J100" s="338">
        <v>104.5</v>
      </c>
      <c r="K100" s="338">
        <v>102.1</v>
      </c>
      <c r="L100" s="408">
        <v>102</v>
      </c>
      <c r="M100" s="408">
        <v>102</v>
      </c>
      <c r="N100" s="408">
        <v>100.2</v>
      </c>
      <c r="O100" s="408">
        <v>100.2</v>
      </c>
    </row>
    <row r="101" spans="1:15" s="9" customFormat="1" ht="9">
      <c r="A101" s="558"/>
      <c r="B101" s="597"/>
      <c r="C101" s="325" t="s">
        <v>285</v>
      </c>
      <c r="D101" s="407">
        <v>100.1</v>
      </c>
      <c r="E101" s="154">
        <v>100</v>
      </c>
      <c r="F101" s="339">
        <v>100.5</v>
      </c>
      <c r="G101" s="339">
        <v>100.5</v>
      </c>
      <c r="H101" s="339">
        <v>101</v>
      </c>
      <c r="I101" s="339">
        <v>103.6</v>
      </c>
      <c r="J101" s="339">
        <v>104.5</v>
      </c>
      <c r="K101" s="339">
        <v>101.7</v>
      </c>
      <c r="L101" s="409">
        <v>102</v>
      </c>
      <c r="M101" s="409">
        <v>102</v>
      </c>
      <c r="N101" s="409">
        <v>100.2</v>
      </c>
      <c r="O101" s="409">
        <v>100.2</v>
      </c>
    </row>
    <row r="102" spans="1:15" s="9" customFormat="1" ht="9.75" thickBot="1">
      <c r="A102" s="558"/>
      <c r="B102" s="595"/>
      <c r="C102" s="321" t="s">
        <v>286</v>
      </c>
      <c r="D102" s="354">
        <v>100.2</v>
      </c>
      <c r="E102" s="350">
        <v>100.5</v>
      </c>
      <c r="F102" s="350">
        <v>100.5</v>
      </c>
      <c r="G102" s="350">
        <v>101</v>
      </c>
      <c r="H102" s="350">
        <v>101</v>
      </c>
      <c r="I102" s="350">
        <v>103.7</v>
      </c>
      <c r="J102" s="350">
        <v>104.5</v>
      </c>
      <c r="K102" s="350">
        <v>102</v>
      </c>
      <c r="L102" s="350">
        <v>102</v>
      </c>
      <c r="M102" s="350">
        <v>102</v>
      </c>
      <c r="N102" s="350">
        <v>100.2</v>
      </c>
      <c r="O102" s="350">
        <v>100.2</v>
      </c>
    </row>
    <row r="103" spans="1:15" s="9" customFormat="1" ht="9">
      <c r="A103" s="558"/>
      <c r="B103" s="594" t="s">
        <v>290</v>
      </c>
      <c r="C103" s="319" t="s">
        <v>284</v>
      </c>
      <c r="D103" s="358">
        <f>104000/1507.5</f>
        <v>68.98839137645108</v>
      </c>
      <c r="E103" s="334">
        <f>101700/1507.5</f>
        <v>67.46268656716418</v>
      </c>
      <c r="F103" s="334">
        <f aca="true" t="shared" si="0" ref="F103:G105">103800/1507.5</f>
        <v>68.85572139303483</v>
      </c>
      <c r="G103" s="334">
        <f t="shared" si="0"/>
        <v>68.85572139303483</v>
      </c>
      <c r="H103" s="334">
        <f aca="true" t="shared" si="1" ref="H103:I105">104000/1507.5</f>
        <v>68.98839137645108</v>
      </c>
      <c r="I103" s="334">
        <f t="shared" si="1"/>
        <v>68.98839137645108</v>
      </c>
      <c r="J103" s="410">
        <f>106000/1507.5</f>
        <v>70.3150912106136</v>
      </c>
      <c r="K103" s="410">
        <f>103300/1507.5</f>
        <v>68.5240464344942</v>
      </c>
      <c r="L103" s="410">
        <f>103900/1507.5</f>
        <v>68.92205638474296</v>
      </c>
      <c r="M103" s="410">
        <f>103900/1507.5</f>
        <v>68.92205638474296</v>
      </c>
      <c r="N103" s="410">
        <f>105300/1507.5</f>
        <v>69.85074626865672</v>
      </c>
      <c r="O103" s="432"/>
    </row>
    <row r="104" spans="1:15" s="9" customFormat="1" ht="9">
      <c r="A104" s="558"/>
      <c r="B104" s="597"/>
      <c r="C104" s="325" t="s">
        <v>285</v>
      </c>
      <c r="D104" s="407">
        <f>104000/1507.5</f>
        <v>68.98839137645108</v>
      </c>
      <c r="E104" s="154">
        <f>101700/1507.5</f>
        <v>67.46268656716418</v>
      </c>
      <c r="F104" s="154">
        <f t="shared" si="0"/>
        <v>68.85572139303483</v>
      </c>
      <c r="G104" s="154">
        <f t="shared" si="0"/>
        <v>68.85572139303483</v>
      </c>
      <c r="H104" s="154">
        <f t="shared" si="1"/>
        <v>68.98839137645108</v>
      </c>
      <c r="I104" s="154">
        <f t="shared" si="1"/>
        <v>68.98839137645108</v>
      </c>
      <c r="J104" s="399">
        <f>106000/1507.5</f>
        <v>70.3150912106136</v>
      </c>
      <c r="K104" s="399">
        <f>102700/1507.5</f>
        <v>68.12603648424545</v>
      </c>
      <c r="L104" s="399">
        <f>103500/1507.5</f>
        <v>68.65671641791045</v>
      </c>
      <c r="M104" s="399">
        <f>103900/1507.5</f>
        <v>68.92205638474296</v>
      </c>
      <c r="N104" s="399">
        <f>105300/1507.5</f>
        <v>69.85074626865672</v>
      </c>
      <c r="O104" s="433"/>
    </row>
    <row r="105" spans="1:15" s="9" customFormat="1" ht="9.75" thickBot="1">
      <c r="A105" s="558"/>
      <c r="B105" s="595"/>
      <c r="C105" s="321" t="s">
        <v>286</v>
      </c>
      <c r="D105" s="411">
        <f>104000/1507.5</f>
        <v>68.98839137645108</v>
      </c>
      <c r="E105" s="336">
        <f>101700/1507.5</f>
        <v>67.46268656716418</v>
      </c>
      <c r="F105" s="336">
        <f t="shared" si="0"/>
        <v>68.85572139303483</v>
      </c>
      <c r="G105" s="336">
        <f t="shared" si="0"/>
        <v>68.85572139303483</v>
      </c>
      <c r="H105" s="336">
        <f t="shared" si="1"/>
        <v>68.98839137645108</v>
      </c>
      <c r="I105" s="336">
        <f t="shared" si="1"/>
        <v>68.98839137645108</v>
      </c>
      <c r="J105" s="412">
        <f>106000/1507.5</f>
        <v>70.3150912106136</v>
      </c>
      <c r="K105" s="350">
        <f>103300/1507.5</f>
        <v>68.5240464344942</v>
      </c>
      <c r="L105" s="412">
        <f>103900/1507.5</f>
        <v>68.92205638474296</v>
      </c>
      <c r="M105" s="412">
        <f>103900/1507.5</f>
        <v>68.92205638474296</v>
      </c>
      <c r="N105" s="412">
        <f>105300/1507.5</f>
        <v>69.85074626865672</v>
      </c>
      <c r="O105" s="429"/>
    </row>
    <row r="106" spans="1:15" s="9" customFormat="1" ht="9">
      <c r="A106" s="558"/>
      <c r="B106" s="594" t="s">
        <v>291</v>
      </c>
      <c r="C106" s="319" t="s">
        <v>284</v>
      </c>
      <c r="D106" s="358">
        <f>109500/1507.5</f>
        <v>72.636815920398</v>
      </c>
      <c r="E106" s="334">
        <f>102500/1507.5</f>
        <v>67.99336650082918</v>
      </c>
      <c r="F106" s="334">
        <f>103/1507.5</f>
        <v>0.06832504145936982</v>
      </c>
      <c r="G106" s="334">
        <f>104500/1507.5</f>
        <v>69.32006633499171</v>
      </c>
      <c r="H106" s="334">
        <f>105500/1507.5</f>
        <v>69.98341625207297</v>
      </c>
      <c r="I106" s="334">
        <f>105300/1507.5</f>
        <v>69.85074626865672</v>
      </c>
      <c r="J106" s="410">
        <f>106700/1507.5</f>
        <v>70.77943615257048</v>
      </c>
      <c r="K106" s="410">
        <f>108500/1507.5</f>
        <v>71.97346600331674</v>
      </c>
      <c r="L106" s="410">
        <f>109300/1507.5</f>
        <v>72.50414593698176</v>
      </c>
      <c r="M106" s="410">
        <f>109300/1507.5</f>
        <v>72.50414593698176</v>
      </c>
      <c r="N106" s="410">
        <f>111500/1507.5</f>
        <v>73.96351575456053</v>
      </c>
      <c r="O106" s="408">
        <f>112200/1507.5</f>
        <v>74.42786069651741</v>
      </c>
    </row>
    <row r="107" spans="1:15" s="9" customFormat="1" ht="9">
      <c r="A107" s="558"/>
      <c r="B107" s="597"/>
      <c r="C107" s="325" t="s">
        <v>285</v>
      </c>
      <c r="D107" s="407">
        <f>109500/1507.5</f>
        <v>72.636815920398</v>
      </c>
      <c r="E107" s="154">
        <f>102500/1507.5</f>
        <v>67.99336650082918</v>
      </c>
      <c r="F107" s="154">
        <f>102/1507.5</f>
        <v>0.06766169154228856</v>
      </c>
      <c r="G107" s="154">
        <f>104500/1507.5</f>
        <v>69.32006633499171</v>
      </c>
      <c r="H107" s="154">
        <f>104500/1507.5</f>
        <v>69.32006633499171</v>
      </c>
      <c r="I107" s="154">
        <f>105300/1507.5</f>
        <v>69.85074626865672</v>
      </c>
      <c r="J107" s="399">
        <f>106700/1507.5</f>
        <v>70.77943615257048</v>
      </c>
      <c r="K107" s="399">
        <f>107700/1507.5</f>
        <v>71.44278606965175</v>
      </c>
      <c r="L107" s="399">
        <f>108900/1507.5</f>
        <v>72.23880597014926</v>
      </c>
      <c r="M107" s="399">
        <f>109300/1507.5</f>
        <v>72.50414593698176</v>
      </c>
      <c r="N107" s="399">
        <f>110500/1507.5</f>
        <v>73.30016583747927</v>
      </c>
      <c r="O107" s="409">
        <f>112200/1507.5</f>
        <v>74.42786069651741</v>
      </c>
    </row>
    <row r="108" spans="1:15" s="9" customFormat="1" ht="9.75" thickBot="1">
      <c r="A108" s="559"/>
      <c r="B108" s="595"/>
      <c r="C108" s="321" t="s">
        <v>286</v>
      </c>
      <c r="D108" s="411">
        <f>109500/1507.5</f>
        <v>72.636815920398</v>
      </c>
      <c r="E108" s="336">
        <f>102500/1507.5</f>
        <v>67.99336650082918</v>
      </c>
      <c r="F108" s="350">
        <f>103000/1507.5</f>
        <v>68.32504145936981</v>
      </c>
      <c r="G108" s="336">
        <f>104500/1507.5</f>
        <v>69.32006633499171</v>
      </c>
      <c r="H108" s="350">
        <f>105500/1507.5</f>
        <v>69.98341625207297</v>
      </c>
      <c r="I108" s="336">
        <f>105300/1507.5</f>
        <v>69.85074626865672</v>
      </c>
      <c r="J108" s="412">
        <f>106700/1507.5</f>
        <v>70.77943615257048</v>
      </c>
      <c r="K108" s="350">
        <f>108500/1507.5</f>
        <v>71.97346600331674</v>
      </c>
      <c r="L108" s="350">
        <f>109300/1507.5</f>
        <v>72.50414593698176</v>
      </c>
      <c r="M108" s="412">
        <f>109300/1507.5</f>
        <v>72.50414593698176</v>
      </c>
      <c r="N108" s="350">
        <f>111500/1507.5</f>
        <v>73.96351575456053</v>
      </c>
      <c r="O108" s="350">
        <f>112200/1507.5</f>
        <v>74.42786069651741</v>
      </c>
    </row>
  </sheetData>
  <sheetProtection/>
  <mergeCells count="38">
    <mergeCell ref="D77:O77"/>
    <mergeCell ref="A6:A11"/>
    <mergeCell ref="B6:B8"/>
    <mergeCell ref="B9:B11"/>
    <mergeCell ref="D4:O4"/>
    <mergeCell ref="A12:A7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A79:A96"/>
    <mergeCell ref="B79:B81"/>
    <mergeCell ref="B82:B84"/>
    <mergeCell ref="B85:B87"/>
    <mergeCell ref="B88:B90"/>
    <mergeCell ref="B91:B93"/>
    <mergeCell ref="B94:B96"/>
    <mergeCell ref="A97:A108"/>
    <mergeCell ref="B97:B99"/>
    <mergeCell ref="B100:B102"/>
    <mergeCell ref="B103:B105"/>
    <mergeCell ref="B106:B10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N27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21.421875" style="23" customWidth="1"/>
    <col min="2" max="2" width="9.00390625" style="5" bestFit="1" customWidth="1"/>
    <col min="3" max="4" width="8.8515625" style="5" bestFit="1" customWidth="1"/>
    <col min="5" max="5" width="9.8515625" style="5" bestFit="1" customWidth="1"/>
    <col min="6" max="8" width="11.57421875" style="5" bestFit="1" customWidth="1"/>
    <col min="9" max="10" width="9.00390625" style="5" bestFit="1" customWidth="1"/>
    <col min="11" max="11" width="9.7109375" style="5" bestFit="1" customWidth="1"/>
    <col min="12" max="12" width="11.140625" style="5" bestFit="1" customWidth="1"/>
    <col min="13" max="13" width="9.57421875" style="5" bestFit="1" customWidth="1"/>
    <col min="14" max="16384" width="9.140625" style="5" customWidth="1"/>
  </cols>
  <sheetData>
    <row r="1" spans="1:13" ht="19.5" customHeight="1">
      <c r="A1" s="514" t="s">
        <v>473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</row>
    <row r="2" ht="12.75">
      <c r="A2" s="381" t="s">
        <v>474</v>
      </c>
    </row>
    <row r="3" ht="6.75" customHeight="1" thickBot="1"/>
    <row r="4" spans="2:13" ht="13.5" customHeight="1" thickBot="1">
      <c r="B4" s="472" t="s">
        <v>261</v>
      </c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</row>
    <row r="5" spans="2:13" ht="13.5" thickBot="1">
      <c r="B5" s="439">
        <v>1997</v>
      </c>
      <c r="C5" s="439">
        <v>1998</v>
      </c>
      <c r="D5" s="439">
        <v>1999</v>
      </c>
      <c r="E5" s="439">
        <v>2000</v>
      </c>
      <c r="F5" s="439">
        <v>2001</v>
      </c>
      <c r="G5" s="439">
        <v>2002</v>
      </c>
      <c r="H5" s="439">
        <v>2003</v>
      </c>
      <c r="I5" s="439">
        <v>2004</v>
      </c>
      <c r="J5" s="439">
        <v>2005</v>
      </c>
      <c r="K5" s="439">
        <v>2006</v>
      </c>
      <c r="L5" s="439">
        <v>2007</v>
      </c>
      <c r="M5" s="392">
        <v>2008</v>
      </c>
    </row>
    <row r="6" spans="1:13" ht="12.75">
      <c r="A6" s="440" t="s">
        <v>475</v>
      </c>
      <c r="B6" s="390">
        <v>42</v>
      </c>
      <c r="C6" s="390">
        <v>52</v>
      </c>
      <c r="D6" s="390">
        <v>53</v>
      </c>
      <c r="E6" s="390">
        <v>58</v>
      </c>
      <c r="F6" s="390">
        <v>86</v>
      </c>
      <c r="G6" s="390">
        <v>93</v>
      </c>
      <c r="H6" s="390">
        <v>92</v>
      </c>
      <c r="I6" s="390">
        <v>95</v>
      </c>
      <c r="J6" s="390">
        <v>99</v>
      </c>
      <c r="K6" s="390">
        <v>97</v>
      </c>
      <c r="L6" s="390">
        <v>99</v>
      </c>
      <c r="M6" s="199">
        <v>101</v>
      </c>
    </row>
    <row r="7" spans="1:13" ht="12.75">
      <c r="A7" s="441" t="s">
        <v>476</v>
      </c>
      <c r="B7" s="391">
        <v>3</v>
      </c>
      <c r="C7" s="391">
        <v>7</v>
      </c>
      <c r="D7" s="391">
        <v>8</v>
      </c>
      <c r="E7" s="391">
        <v>8</v>
      </c>
      <c r="F7" s="391">
        <v>49</v>
      </c>
      <c r="G7" s="391">
        <v>57</v>
      </c>
      <c r="H7" s="391">
        <v>60</v>
      </c>
      <c r="I7" s="391">
        <v>65</v>
      </c>
      <c r="J7" s="391">
        <v>118</v>
      </c>
      <c r="K7" s="391">
        <v>136</v>
      </c>
      <c r="L7" s="391">
        <v>149</v>
      </c>
      <c r="M7" s="204">
        <v>137</v>
      </c>
    </row>
    <row r="8" spans="1:13" ht="13.5" thickBot="1">
      <c r="A8" s="442" t="s">
        <v>477</v>
      </c>
      <c r="B8" s="197">
        <v>2583</v>
      </c>
      <c r="C8" s="197">
        <v>6262</v>
      </c>
      <c r="D8" s="197">
        <v>6535</v>
      </c>
      <c r="E8" s="197">
        <v>6697</v>
      </c>
      <c r="F8" s="197">
        <v>9637</v>
      </c>
      <c r="G8" s="197">
        <v>8142</v>
      </c>
      <c r="H8" s="197">
        <v>7953</v>
      </c>
      <c r="I8" s="197">
        <v>9872</v>
      </c>
      <c r="J8" s="197">
        <v>11098</v>
      </c>
      <c r="K8" s="197">
        <v>13629</v>
      </c>
      <c r="L8" s="197">
        <v>19867</v>
      </c>
      <c r="M8" s="206">
        <v>22714</v>
      </c>
    </row>
    <row r="10" spans="1:12" ht="19.5" customHeight="1">
      <c r="A10" s="514" t="s">
        <v>478</v>
      </c>
      <c r="B10" s="514"/>
      <c r="C10" s="514"/>
      <c r="D10" s="514"/>
      <c r="E10" s="514"/>
      <c r="F10" s="514"/>
      <c r="G10" s="514"/>
      <c r="H10" s="514"/>
      <c r="I10" s="514"/>
      <c r="J10" s="514"/>
      <c r="K10" s="514"/>
      <c r="L10" s="514"/>
    </row>
    <row r="11" ht="12.75">
      <c r="A11" s="381" t="s">
        <v>474</v>
      </c>
    </row>
    <row r="12" ht="6.75" customHeight="1" thickBot="1"/>
    <row r="13" spans="2:13" ht="13.5" customHeight="1" thickBot="1">
      <c r="B13" s="472" t="s">
        <v>261</v>
      </c>
      <c r="C13" s="472"/>
      <c r="D13" s="472"/>
      <c r="E13" s="472"/>
      <c r="F13" s="472"/>
      <c r="G13" s="472"/>
      <c r="H13" s="472"/>
      <c r="I13" s="472"/>
      <c r="J13" s="472"/>
      <c r="K13" s="472"/>
      <c r="L13" s="472"/>
      <c r="M13" s="472"/>
    </row>
    <row r="14" spans="2:13" ht="13.5" thickBot="1">
      <c r="B14" s="439">
        <v>1997</v>
      </c>
      <c r="C14" s="439">
        <v>1998</v>
      </c>
      <c r="D14" s="439">
        <v>1999</v>
      </c>
      <c r="E14" s="439">
        <v>2000</v>
      </c>
      <c r="F14" s="439">
        <v>2001</v>
      </c>
      <c r="G14" s="439">
        <v>2002</v>
      </c>
      <c r="H14" s="439">
        <v>2003</v>
      </c>
      <c r="I14" s="439">
        <v>2004</v>
      </c>
      <c r="J14" s="439">
        <v>2005</v>
      </c>
      <c r="K14" s="439">
        <v>2006</v>
      </c>
      <c r="L14" s="439">
        <v>2007</v>
      </c>
      <c r="M14" s="392">
        <v>2008</v>
      </c>
    </row>
    <row r="15" spans="1:13" ht="12.75">
      <c r="A15" s="443" t="s">
        <v>479</v>
      </c>
      <c r="B15" s="144">
        <v>640000000</v>
      </c>
      <c r="C15" s="144">
        <v>330000000</v>
      </c>
      <c r="D15" s="144">
        <v>91000000</v>
      </c>
      <c r="E15" s="144">
        <v>118000000</v>
      </c>
      <c r="F15" s="144">
        <v>53000000</v>
      </c>
      <c r="G15" s="144">
        <v>119000000</v>
      </c>
      <c r="H15" s="144">
        <v>131000000</v>
      </c>
      <c r="I15" s="144">
        <v>197846000</v>
      </c>
      <c r="J15" s="144">
        <v>923420299</v>
      </c>
      <c r="K15" s="144">
        <v>2031884961</v>
      </c>
      <c r="L15" s="144">
        <v>993797343</v>
      </c>
      <c r="M15" s="199">
        <v>1710384896</v>
      </c>
    </row>
    <row r="16" spans="1:13" s="7" customFormat="1" ht="12">
      <c r="A16" s="444" t="s">
        <v>480</v>
      </c>
      <c r="B16" s="105">
        <v>1280000000</v>
      </c>
      <c r="C16" s="105">
        <v>660000000</v>
      </c>
      <c r="D16" s="105">
        <v>182000000</v>
      </c>
      <c r="E16" s="105">
        <v>236000000</v>
      </c>
      <c r="F16" s="105">
        <v>106000000</v>
      </c>
      <c r="G16" s="105">
        <v>238000000</v>
      </c>
      <c r="H16" s="105">
        <v>262000000</v>
      </c>
      <c r="I16" s="105">
        <v>395692000</v>
      </c>
      <c r="J16" s="105">
        <v>1846840598</v>
      </c>
      <c r="K16" s="105">
        <v>4063769922</v>
      </c>
      <c r="L16" s="105">
        <v>1987594686</v>
      </c>
      <c r="M16" s="204">
        <v>3420769792</v>
      </c>
    </row>
    <row r="17" spans="1:13" ht="27.75" thickBot="1">
      <c r="A17" s="445" t="s">
        <v>481</v>
      </c>
      <c r="B17" s="107">
        <v>200207250</v>
      </c>
      <c r="C17" s="107">
        <v>408308067</v>
      </c>
      <c r="D17" s="107">
        <v>359051723</v>
      </c>
      <c r="E17" s="434"/>
      <c r="F17" s="107">
        <v>1514718505</v>
      </c>
      <c r="G17" s="107">
        <v>1930666465</v>
      </c>
      <c r="H17" s="107">
        <v>2094039478</v>
      </c>
      <c r="I17" s="107">
        <v>2491573527</v>
      </c>
      <c r="J17" s="107">
        <v>5242195320</v>
      </c>
      <c r="K17" s="107">
        <v>9389403681</v>
      </c>
      <c r="L17" s="107">
        <v>10284767185</v>
      </c>
      <c r="M17" s="206">
        <v>11732243287</v>
      </c>
    </row>
    <row r="18" spans="1:12" s="11" customFormat="1" ht="12.75">
      <c r="A18" s="380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</row>
    <row r="19" spans="1:12" s="11" customFormat="1" ht="19.5" customHeight="1">
      <c r="A19" s="514" t="s">
        <v>482</v>
      </c>
      <c r="B19" s="514"/>
      <c r="C19" s="514"/>
      <c r="D19" s="514"/>
      <c r="E19" s="514"/>
      <c r="F19" s="514"/>
      <c r="G19" s="514"/>
      <c r="H19" s="514"/>
      <c r="I19" s="514"/>
      <c r="J19" s="514"/>
      <c r="K19" s="514"/>
      <c r="L19" s="514"/>
    </row>
    <row r="20" spans="1:12" s="11" customFormat="1" ht="12.75">
      <c r="A20" s="381" t="s">
        <v>474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4" s="11" customFormat="1" ht="6.75" customHeight="1" thickBot="1">
      <c r="A21" s="381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N21" s="446"/>
    </row>
    <row r="22" spans="1:13" s="11" customFormat="1" ht="13.5" customHeight="1" thickBot="1">
      <c r="A22" s="381"/>
      <c r="B22" s="472" t="s">
        <v>261</v>
      </c>
      <c r="C22" s="472"/>
      <c r="D22" s="472"/>
      <c r="E22" s="472"/>
      <c r="F22" s="472"/>
      <c r="G22" s="472"/>
      <c r="H22" s="472"/>
      <c r="I22" s="472"/>
      <c r="J22" s="472"/>
      <c r="K22" s="472"/>
      <c r="L22" s="472"/>
      <c r="M22" s="472"/>
    </row>
    <row r="23" spans="1:13" s="11" customFormat="1" ht="48" thickBot="1">
      <c r="A23" s="381"/>
      <c r="B23" s="37" t="s">
        <v>304</v>
      </c>
      <c r="C23" s="37" t="s">
        <v>472</v>
      </c>
      <c r="D23" s="37" t="s">
        <v>306</v>
      </c>
      <c r="E23" s="37" t="s">
        <v>307</v>
      </c>
      <c r="F23" s="37" t="s">
        <v>308</v>
      </c>
      <c r="G23" s="37" t="s">
        <v>309</v>
      </c>
      <c r="H23" s="37" t="s">
        <v>310</v>
      </c>
      <c r="I23" s="37" t="s">
        <v>311</v>
      </c>
      <c r="J23" s="37" t="s">
        <v>312</v>
      </c>
      <c r="K23" s="37" t="s">
        <v>313</v>
      </c>
      <c r="L23" s="37" t="s">
        <v>314</v>
      </c>
      <c r="M23" s="37" t="s">
        <v>315</v>
      </c>
    </row>
    <row r="24" spans="1:13" ht="12.75">
      <c r="A24" s="447">
        <v>2005</v>
      </c>
      <c r="B24" s="448">
        <v>12.49</v>
      </c>
      <c r="C24" s="448">
        <v>13.45</v>
      </c>
      <c r="D24" s="448">
        <v>14.2</v>
      </c>
      <c r="E24" s="448">
        <v>16.41</v>
      </c>
      <c r="F24" s="448">
        <v>15.91</v>
      </c>
      <c r="G24" s="448">
        <v>16.27</v>
      </c>
      <c r="H24" s="448">
        <v>15.96</v>
      </c>
      <c r="I24" s="448">
        <v>15.68</v>
      </c>
      <c r="J24" s="448">
        <v>15.58</v>
      </c>
      <c r="K24" s="448">
        <v>15.9</v>
      </c>
      <c r="L24" s="448">
        <v>15.77</v>
      </c>
      <c r="M24" s="453">
        <v>16.67</v>
      </c>
    </row>
    <row r="25" spans="1:13" ht="12.75">
      <c r="A25" s="449">
        <v>2006</v>
      </c>
      <c r="B25" s="450">
        <v>17.48</v>
      </c>
      <c r="C25" s="450">
        <v>17</v>
      </c>
      <c r="D25" s="450">
        <v>17.9</v>
      </c>
      <c r="E25" s="450">
        <v>18.77</v>
      </c>
      <c r="F25" s="450">
        <v>18.3</v>
      </c>
      <c r="G25" s="450">
        <v>18.45</v>
      </c>
      <c r="H25" s="450">
        <v>19.06</v>
      </c>
      <c r="I25" s="450">
        <v>20.88</v>
      </c>
      <c r="J25" s="450">
        <v>20.89</v>
      </c>
      <c r="K25" s="450">
        <v>22.68</v>
      </c>
      <c r="L25" s="450">
        <v>22.31</v>
      </c>
      <c r="M25" s="454">
        <v>22.15</v>
      </c>
    </row>
    <row r="26" spans="1:13" ht="12.75">
      <c r="A26" s="449">
        <v>2007</v>
      </c>
      <c r="B26" s="450">
        <v>21.88</v>
      </c>
      <c r="C26" s="450">
        <v>22</v>
      </c>
      <c r="D26" s="450">
        <v>22.14</v>
      </c>
      <c r="E26" s="450">
        <v>22.26</v>
      </c>
      <c r="F26" s="450">
        <v>22.27</v>
      </c>
      <c r="G26" s="450">
        <v>22.32</v>
      </c>
      <c r="H26" s="450">
        <v>22.47</v>
      </c>
      <c r="I26" s="450">
        <v>22.48</v>
      </c>
      <c r="J26" s="450">
        <v>23.12</v>
      </c>
      <c r="K26" s="450">
        <v>23.69</v>
      </c>
      <c r="L26" s="450">
        <v>23.91</v>
      </c>
      <c r="M26" s="454">
        <v>24.36</v>
      </c>
    </row>
    <row r="27" spans="1:13" ht="13.5" thickBot="1">
      <c r="A27" s="451">
        <v>2008</v>
      </c>
      <c r="B27" s="452">
        <v>24.36</v>
      </c>
      <c r="C27" s="452">
        <v>24.82</v>
      </c>
      <c r="D27" s="452">
        <v>25.46</v>
      </c>
      <c r="E27" s="452">
        <v>26.31</v>
      </c>
      <c r="F27" s="452">
        <v>27.9</v>
      </c>
      <c r="G27" s="452">
        <v>29.22</v>
      </c>
      <c r="H27" s="452">
        <v>29.43</v>
      </c>
      <c r="I27" s="452">
        <v>27.87</v>
      </c>
      <c r="J27" s="452">
        <v>28.92</v>
      </c>
      <c r="K27" s="452">
        <v>26.34</v>
      </c>
      <c r="L27" s="452">
        <v>25.49</v>
      </c>
      <c r="M27" s="452">
        <v>25.23</v>
      </c>
    </row>
  </sheetData>
  <sheetProtection/>
  <mergeCells count="6">
    <mergeCell ref="B22:M22"/>
    <mergeCell ref="A1:M1"/>
    <mergeCell ref="B4:M4"/>
    <mergeCell ref="A10:L10"/>
    <mergeCell ref="B13:M13"/>
    <mergeCell ref="A19:L19"/>
  </mergeCells>
  <printOptions horizontalCentered="1"/>
  <pageMargins left="0" right="0" top="0.5" bottom="0.5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G15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4.57421875" style="1" customWidth="1"/>
    <col min="2" max="7" width="13.00390625" style="1" customWidth="1"/>
    <col min="8" max="16384" width="9.140625" style="1" customWidth="1"/>
  </cols>
  <sheetData>
    <row r="1" spans="1:7" s="2" customFormat="1" ht="19.5" customHeight="1">
      <c r="A1" s="514" t="s">
        <v>262</v>
      </c>
      <c r="B1" s="514"/>
      <c r="C1" s="514"/>
      <c r="D1" s="514"/>
      <c r="E1" s="514"/>
      <c r="F1" s="514"/>
      <c r="G1" s="514"/>
    </row>
    <row r="2" s="2" customFormat="1" ht="12.75" customHeight="1">
      <c r="A2" s="14" t="s">
        <v>263</v>
      </c>
    </row>
    <row r="3" s="2" customFormat="1" ht="6.75" customHeight="1" thickBot="1">
      <c r="A3" s="23"/>
    </row>
    <row r="4" spans="1:7" s="2" customFormat="1" ht="13.5" customHeight="1" thickBot="1">
      <c r="A4" s="23"/>
      <c r="B4" s="458">
        <v>2008</v>
      </c>
      <c r="C4" s="458"/>
      <c r="D4" s="458"/>
      <c r="E4" s="458"/>
      <c r="F4" s="458"/>
      <c r="G4" s="458"/>
    </row>
    <row r="5" spans="1:7" s="2" customFormat="1" ht="24.75" customHeight="1" thickBot="1">
      <c r="A5" s="23"/>
      <c r="B5" s="244" t="s">
        <v>396</v>
      </c>
      <c r="C5" s="244" t="s">
        <v>58</v>
      </c>
      <c r="D5" s="244" t="s">
        <v>59</v>
      </c>
      <c r="E5" s="244" t="s">
        <v>61</v>
      </c>
      <c r="F5" s="244" t="s">
        <v>60</v>
      </c>
      <c r="G5" s="214" t="s">
        <v>389</v>
      </c>
    </row>
    <row r="6" spans="1:7" s="2" customFormat="1" ht="24.75" customHeight="1" thickBot="1">
      <c r="A6" s="244" t="s">
        <v>264</v>
      </c>
      <c r="B6" s="382">
        <v>95</v>
      </c>
      <c r="C6" s="382">
        <v>113</v>
      </c>
      <c r="D6" s="382">
        <v>68</v>
      </c>
      <c r="E6" s="382">
        <v>68</v>
      </c>
      <c r="F6" s="382">
        <v>40</v>
      </c>
      <c r="G6" s="383">
        <f>SUM(B6:F6)</f>
        <v>384</v>
      </c>
    </row>
    <row r="8" spans="1:7" ht="19.5" customHeight="1">
      <c r="A8" s="514" t="s">
        <v>267</v>
      </c>
      <c r="B8" s="514"/>
      <c r="C8" s="514"/>
      <c r="D8" s="514"/>
      <c r="E8" s="514"/>
      <c r="F8" s="514"/>
      <c r="G8" s="514"/>
    </row>
    <row r="9" spans="1:7" ht="12.75">
      <c r="A9" s="14" t="s">
        <v>263</v>
      </c>
      <c r="B9" s="2"/>
      <c r="C9" s="2"/>
      <c r="D9" s="2"/>
      <c r="E9" s="2"/>
      <c r="F9" s="2"/>
      <c r="G9" s="2"/>
    </row>
    <row r="10" spans="1:7" ht="6.75" customHeight="1" thickBot="1">
      <c r="A10" s="23"/>
      <c r="B10" s="2"/>
      <c r="C10" s="2"/>
      <c r="D10" s="2"/>
      <c r="E10" s="2"/>
      <c r="F10" s="2"/>
      <c r="G10" s="2"/>
    </row>
    <row r="11" spans="1:7" ht="13.5" thickBot="1">
      <c r="A11" s="23"/>
      <c r="B11" s="458">
        <v>2008</v>
      </c>
      <c r="C11" s="458"/>
      <c r="D11" s="458"/>
      <c r="E11" s="458"/>
      <c r="F11" s="458"/>
      <c r="G11" s="458"/>
    </row>
    <row r="12" spans="1:7" ht="24.75" customHeight="1" thickBot="1">
      <c r="A12" s="23"/>
      <c r="B12" s="244" t="s">
        <v>396</v>
      </c>
      <c r="C12" s="244" t="s">
        <v>58</v>
      </c>
      <c r="D12" s="244" t="s">
        <v>59</v>
      </c>
      <c r="E12" s="244" t="s">
        <v>61</v>
      </c>
      <c r="F12" s="244" t="s">
        <v>60</v>
      </c>
      <c r="G12" s="214" t="s">
        <v>389</v>
      </c>
    </row>
    <row r="13" spans="1:7" ht="24.75" customHeight="1">
      <c r="A13" s="251" t="s">
        <v>265</v>
      </c>
      <c r="B13" s="384">
        <v>23</v>
      </c>
      <c r="C13" s="384">
        <v>11</v>
      </c>
      <c r="D13" s="384">
        <v>7</v>
      </c>
      <c r="E13" s="384">
        <v>2</v>
      </c>
      <c r="F13" s="384">
        <v>7</v>
      </c>
      <c r="G13" s="385">
        <f>SUM(B13:F13)</f>
        <v>50</v>
      </c>
    </row>
    <row r="14" spans="1:7" ht="24.75" customHeight="1" thickBot="1">
      <c r="A14" s="386" t="s">
        <v>266</v>
      </c>
      <c r="B14" s="387">
        <v>72</v>
      </c>
      <c r="C14" s="387">
        <v>102</v>
      </c>
      <c r="D14" s="387">
        <v>61</v>
      </c>
      <c r="E14" s="387">
        <v>66</v>
      </c>
      <c r="F14" s="387">
        <v>33</v>
      </c>
      <c r="G14" s="388">
        <f>SUM(B14:F14)</f>
        <v>334</v>
      </c>
    </row>
    <row r="15" spans="1:7" ht="24.75" customHeight="1" thickBot="1">
      <c r="A15" s="214" t="s">
        <v>389</v>
      </c>
      <c r="B15" s="389">
        <f aca="true" t="shared" si="0" ref="B15:G15">SUM(B13:B14)</f>
        <v>95</v>
      </c>
      <c r="C15" s="389">
        <f t="shared" si="0"/>
        <v>113</v>
      </c>
      <c r="D15" s="389">
        <f t="shared" si="0"/>
        <v>68</v>
      </c>
      <c r="E15" s="389">
        <f t="shared" si="0"/>
        <v>68</v>
      </c>
      <c r="F15" s="389">
        <f t="shared" si="0"/>
        <v>40</v>
      </c>
      <c r="G15" s="389">
        <f t="shared" si="0"/>
        <v>384</v>
      </c>
    </row>
  </sheetData>
  <sheetProtection/>
  <mergeCells count="4">
    <mergeCell ref="A1:G1"/>
    <mergeCell ref="B4:G4"/>
    <mergeCell ref="A8:G8"/>
    <mergeCell ref="B11:G11"/>
  </mergeCells>
  <printOptions horizontalCentered="1"/>
  <pageMargins left="0" right="0" top="0.5" bottom="0.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V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10" customWidth="1"/>
    <col min="2" max="2" width="3.140625" style="10" customWidth="1"/>
    <col min="3" max="3" width="26.7109375" style="21" customWidth="1"/>
    <col min="4" max="5" width="9.00390625" style="5" customWidth="1"/>
    <col min="6" max="15" width="9.00390625" style="86" customWidth="1"/>
    <col min="16" max="16" width="6.7109375" style="86" customWidth="1"/>
    <col min="17" max="22" width="9.140625" style="86" customWidth="1"/>
    <col min="23" max="16384" width="9.140625" style="5" customWidth="1"/>
  </cols>
  <sheetData>
    <row r="1" spans="1:2" ht="19.5" customHeight="1">
      <c r="A1" s="6" t="s">
        <v>342</v>
      </c>
      <c r="B1" s="5"/>
    </row>
    <row r="2" spans="1:3" ht="12.75" customHeight="1">
      <c r="A2" s="5" t="s">
        <v>303</v>
      </c>
      <c r="C2" s="22"/>
    </row>
    <row r="3" spans="1:22" s="11" customFormat="1" ht="6.75" customHeight="1" thickBot="1">
      <c r="A3" s="18"/>
      <c r="B3" s="18"/>
      <c r="C3" s="31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</row>
    <row r="4" spans="1:22" s="11" customFormat="1" ht="13.5" customHeight="1" thickBot="1">
      <c r="A4" s="18"/>
      <c r="B4" s="18"/>
      <c r="C4" s="31"/>
      <c r="D4" s="458">
        <v>2008</v>
      </c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27"/>
      <c r="Q4" s="87"/>
      <c r="R4" s="87"/>
      <c r="S4" s="87"/>
      <c r="T4" s="87"/>
      <c r="U4" s="87"/>
      <c r="V4" s="87"/>
    </row>
    <row r="5" spans="1:22" s="11" customFormat="1" ht="48" thickBot="1">
      <c r="A5" s="18"/>
      <c r="B5" s="18"/>
      <c r="C5" s="17"/>
      <c r="D5" s="67" t="s">
        <v>304</v>
      </c>
      <c r="E5" s="67" t="s">
        <v>305</v>
      </c>
      <c r="F5" s="67" t="s">
        <v>306</v>
      </c>
      <c r="G5" s="67" t="s">
        <v>307</v>
      </c>
      <c r="H5" s="67" t="s">
        <v>308</v>
      </c>
      <c r="I5" s="67" t="s">
        <v>309</v>
      </c>
      <c r="J5" s="67" t="s">
        <v>310</v>
      </c>
      <c r="K5" s="67" t="s">
        <v>311</v>
      </c>
      <c r="L5" s="67" t="s">
        <v>312</v>
      </c>
      <c r="M5" s="67" t="s">
        <v>313</v>
      </c>
      <c r="N5" s="67" t="s">
        <v>314</v>
      </c>
      <c r="O5" s="67" t="s">
        <v>315</v>
      </c>
      <c r="P5" s="20"/>
      <c r="Q5" s="87"/>
      <c r="R5" s="87"/>
      <c r="S5" s="87"/>
      <c r="T5" s="87"/>
      <c r="U5" s="87"/>
      <c r="V5" s="87"/>
    </row>
    <row r="6" spans="1:16" ht="13.5" thickBot="1">
      <c r="A6" s="459" t="s">
        <v>343</v>
      </c>
      <c r="B6" s="459" t="s">
        <v>316</v>
      </c>
      <c r="C6" s="91" t="s">
        <v>345</v>
      </c>
      <c r="D6" s="70">
        <f>SUM(D7:D8)</f>
        <v>30041.662</v>
      </c>
      <c r="E6" s="70">
        <f aca="true" t="shared" si="0" ref="E6:O6">SUM(E7:E8)</f>
        <v>30907.649</v>
      </c>
      <c r="F6" s="70">
        <f t="shared" si="0"/>
        <v>31117.240999999998</v>
      </c>
      <c r="G6" s="70">
        <f t="shared" si="0"/>
        <v>31870.074999999997</v>
      </c>
      <c r="H6" s="70">
        <f t="shared" si="0"/>
        <v>33048.495</v>
      </c>
      <c r="I6" s="70">
        <f t="shared" si="0"/>
        <v>33474.181</v>
      </c>
      <c r="J6" s="70">
        <f t="shared" si="0"/>
        <v>34792.909999999996</v>
      </c>
      <c r="K6" s="70">
        <f t="shared" si="0"/>
        <v>35631.073000000004</v>
      </c>
      <c r="L6" s="70">
        <f t="shared" si="0"/>
        <v>36449.886</v>
      </c>
      <c r="M6" s="70">
        <f t="shared" si="0"/>
        <v>37377.237</v>
      </c>
      <c r="N6" s="70">
        <f t="shared" si="0"/>
        <v>37830.456999999995</v>
      </c>
      <c r="O6" s="70">
        <f t="shared" si="0"/>
        <v>39113.445</v>
      </c>
      <c r="P6" s="40"/>
    </row>
    <row r="7" spans="1:16" ht="12.75">
      <c r="A7" s="460"/>
      <c r="B7" s="460"/>
      <c r="C7" s="95" t="s">
        <v>346</v>
      </c>
      <c r="D7" s="69">
        <v>305.065</v>
      </c>
      <c r="E7" s="69">
        <v>279.373</v>
      </c>
      <c r="F7" s="69">
        <v>278.242</v>
      </c>
      <c r="G7" s="69">
        <v>286.456</v>
      </c>
      <c r="H7" s="69">
        <v>296.655</v>
      </c>
      <c r="I7" s="69">
        <v>319.992</v>
      </c>
      <c r="J7" s="69">
        <v>317.393</v>
      </c>
      <c r="K7" s="69">
        <v>336.071</v>
      </c>
      <c r="L7" s="69">
        <v>274.064</v>
      </c>
      <c r="M7" s="69">
        <v>294.631</v>
      </c>
      <c r="N7" s="69">
        <v>331.037</v>
      </c>
      <c r="O7" s="69">
        <v>323.724</v>
      </c>
      <c r="P7" s="41"/>
    </row>
    <row r="8" spans="1:16" s="7" customFormat="1" ht="12.75" thickBot="1">
      <c r="A8" s="460"/>
      <c r="B8" s="460"/>
      <c r="C8" s="93" t="s">
        <v>347</v>
      </c>
      <c r="D8" s="73">
        <v>29736.597</v>
      </c>
      <c r="E8" s="73">
        <v>30628.276</v>
      </c>
      <c r="F8" s="73">
        <v>30838.999</v>
      </c>
      <c r="G8" s="73">
        <v>31583.619</v>
      </c>
      <c r="H8" s="73">
        <v>32751.84</v>
      </c>
      <c r="I8" s="73">
        <v>33154.189</v>
      </c>
      <c r="J8" s="73">
        <v>34475.517</v>
      </c>
      <c r="K8" s="73">
        <v>35295.002</v>
      </c>
      <c r="L8" s="73">
        <v>36175.822</v>
      </c>
      <c r="M8" s="73">
        <v>37082.606</v>
      </c>
      <c r="N8" s="73">
        <v>37499.42</v>
      </c>
      <c r="O8" s="73">
        <v>38789.721</v>
      </c>
      <c r="P8" s="40"/>
    </row>
    <row r="9" spans="1:16" s="32" customFormat="1" ht="11.25" thickBot="1">
      <c r="A9" s="460"/>
      <c r="B9" s="460"/>
      <c r="C9" s="96" t="s">
        <v>321</v>
      </c>
      <c r="D9" s="70">
        <f>SUM(D10:D11)</f>
        <v>27491.031000000003</v>
      </c>
      <c r="E9" s="70">
        <f aca="true" t="shared" si="1" ref="E9:O9">SUM(E10:E11)</f>
        <v>27571.42</v>
      </c>
      <c r="F9" s="70">
        <f t="shared" si="1"/>
        <v>28353.521</v>
      </c>
      <c r="G9" s="70">
        <f t="shared" si="1"/>
        <v>29172.754</v>
      </c>
      <c r="H9" s="70">
        <f t="shared" si="1"/>
        <v>29877.04</v>
      </c>
      <c r="I9" s="70">
        <f t="shared" si="1"/>
        <v>30372.430999999997</v>
      </c>
      <c r="J9" s="70">
        <f t="shared" si="1"/>
        <v>30839.752</v>
      </c>
      <c r="K9" s="70">
        <f t="shared" si="1"/>
        <v>31471.457000000002</v>
      </c>
      <c r="L9" s="70">
        <f t="shared" si="1"/>
        <v>31569.038</v>
      </c>
      <c r="M9" s="70">
        <f t="shared" si="1"/>
        <v>31287.432</v>
      </c>
      <c r="N9" s="70">
        <f t="shared" si="1"/>
        <v>31443.76</v>
      </c>
      <c r="O9" s="70">
        <f t="shared" si="1"/>
        <v>31750.45</v>
      </c>
      <c r="P9" s="41"/>
    </row>
    <row r="10" spans="1:16" s="32" customFormat="1" ht="11.25">
      <c r="A10" s="460"/>
      <c r="B10" s="460"/>
      <c r="C10" s="95" t="s">
        <v>348</v>
      </c>
      <c r="D10" s="69">
        <v>4253.761</v>
      </c>
      <c r="E10" s="69">
        <v>4260.571</v>
      </c>
      <c r="F10" s="69">
        <v>4339.495</v>
      </c>
      <c r="G10" s="69">
        <v>4607.074</v>
      </c>
      <c r="H10" s="69">
        <v>4456.071</v>
      </c>
      <c r="I10" s="69">
        <v>4543.154</v>
      </c>
      <c r="J10" s="69">
        <v>4601.289</v>
      </c>
      <c r="K10" s="69">
        <v>4699.522</v>
      </c>
      <c r="L10" s="69">
        <v>4756.464</v>
      </c>
      <c r="M10" s="69">
        <v>4844.674</v>
      </c>
      <c r="N10" s="69">
        <v>4922.674</v>
      </c>
      <c r="O10" s="69">
        <v>5067.514</v>
      </c>
      <c r="P10" s="41"/>
    </row>
    <row r="11" spans="1:16" s="32" customFormat="1" ht="12" thickBot="1">
      <c r="A11" s="460"/>
      <c r="B11" s="460"/>
      <c r="C11" s="93" t="s">
        <v>349</v>
      </c>
      <c r="D11" s="73">
        <v>23237.27</v>
      </c>
      <c r="E11" s="73">
        <v>23310.849</v>
      </c>
      <c r="F11" s="73">
        <v>24014.026</v>
      </c>
      <c r="G11" s="73">
        <v>24565.68</v>
      </c>
      <c r="H11" s="73">
        <v>25420.969</v>
      </c>
      <c r="I11" s="73">
        <v>25829.277</v>
      </c>
      <c r="J11" s="73">
        <v>26238.463</v>
      </c>
      <c r="K11" s="73">
        <v>26771.935</v>
      </c>
      <c r="L11" s="73">
        <v>26812.574</v>
      </c>
      <c r="M11" s="73">
        <v>26442.758</v>
      </c>
      <c r="N11" s="73">
        <v>26521.086</v>
      </c>
      <c r="O11" s="73">
        <v>26682.936</v>
      </c>
      <c r="P11" s="40"/>
    </row>
    <row r="12" spans="1:16" s="32" customFormat="1" ht="11.25" thickBot="1">
      <c r="A12" s="460"/>
      <c r="B12" s="460"/>
      <c r="C12" s="91" t="s">
        <v>350</v>
      </c>
      <c r="D12" s="70">
        <f>SUM(D13:D15)</f>
        <v>32746.725</v>
      </c>
      <c r="E12" s="70">
        <f aca="true" t="shared" si="2" ref="E12:O12">SUM(E13:E15)</f>
        <v>33372.945</v>
      </c>
      <c r="F12" s="70">
        <f t="shared" si="2"/>
        <v>33787.527</v>
      </c>
      <c r="G12" s="70">
        <f t="shared" si="2"/>
        <v>34225.847</v>
      </c>
      <c r="H12" s="70">
        <f t="shared" si="2"/>
        <v>33865.408</v>
      </c>
      <c r="I12" s="70">
        <f t="shared" si="2"/>
        <v>34739.233</v>
      </c>
      <c r="J12" s="70">
        <f t="shared" si="2"/>
        <v>35428.935999999994</v>
      </c>
      <c r="K12" s="70">
        <f t="shared" si="2"/>
        <v>36583.059</v>
      </c>
      <c r="L12" s="70">
        <f t="shared" si="2"/>
        <v>36615.049999999996</v>
      </c>
      <c r="M12" s="70">
        <f t="shared" si="2"/>
        <v>36928.488</v>
      </c>
      <c r="N12" s="70">
        <f t="shared" si="2"/>
        <v>37895.446</v>
      </c>
      <c r="O12" s="70">
        <f t="shared" si="2"/>
        <v>38313.739</v>
      </c>
      <c r="P12" s="41"/>
    </row>
    <row r="13" spans="1:16" s="32" customFormat="1" ht="11.25">
      <c r="A13" s="460"/>
      <c r="B13" s="460"/>
      <c r="C13" s="99" t="s">
        <v>351</v>
      </c>
      <c r="D13" s="69">
        <v>15953.762</v>
      </c>
      <c r="E13" s="69">
        <v>16565.892</v>
      </c>
      <c r="F13" s="69">
        <v>16844.845</v>
      </c>
      <c r="G13" s="69">
        <v>17538.142</v>
      </c>
      <c r="H13" s="69">
        <v>17639.162</v>
      </c>
      <c r="I13" s="69">
        <v>18684.837</v>
      </c>
      <c r="J13" s="69">
        <v>19385.19</v>
      </c>
      <c r="K13" s="69">
        <v>20389.143</v>
      </c>
      <c r="L13" s="69">
        <v>20539.054</v>
      </c>
      <c r="M13" s="69">
        <v>21419.248</v>
      </c>
      <c r="N13" s="69">
        <v>22357.056</v>
      </c>
      <c r="O13" s="69">
        <v>22607.351</v>
      </c>
      <c r="P13" s="41"/>
    </row>
    <row r="14" spans="1:16" s="32" customFormat="1" ht="11.25">
      <c r="A14" s="460"/>
      <c r="B14" s="460"/>
      <c r="C14" s="97" t="s">
        <v>352</v>
      </c>
      <c r="D14" s="60">
        <v>16728.018</v>
      </c>
      <c r="E14" s="60">
        <v>16742.977</v>
      </c>
      <c r="F14" s="60">
        <v>16872.527</v>
      </c>
      <c r="G14" s="60">
        <v>16616.389</v>
      </c>
      <c r="H14" s="60">
        <v>16152.952</v>
      </c>
      <c r="I14" s="60">
        <v>15990.925</v>
      </c>
      <c r="J14" s="60">
        <v>15966.686</v>
      </c>
      <c r="K14" s="60">
        <v>16115.658</v>
      </c>
      <c r="L14" s="60">
        <v>15996.01</v>
      </c>
      <c r="M14" s="60">
        <v>15419.804</v>
      </c>
      <c r="N14" s="60">
        <v>15441.778</v>
      </c>
      <c r="O14" s="60">
        <v>15608.092</v>
      </c>
      <c r="P14" s="41"/>
    </row>
    <row r="15" spans="1:16" s="32" customFormat="1" ht="12" thickBot="1">
      <c r="A15" s="460"/>
      <c r="B15" s="460"/>
      <c r="C15" s="98" t="s">
        <v>353</v>
      </c>
      <c r="D15" s="73">
        <v>64.945</v>
      </c>
      <c r="E15" s="73">
        <v>64.076</v>
      </c>
      <c r="F15" s="73">
        <v>70.155</v>
      </c>
      <c r="G15" s="73">
        <v>71.316</v>
      </c>
      <c r="H15" s="73">
        <v>73.294</v>
      </c>
      <c r="I15" s="73">
        <v>63.471</v>
      </c>
      <c r="J15" s="73">
        <v>77.06</v>
      </c>
      <c r="K15" s="73">
        <v>78.258</v>
      </c>
      <c r="L15" s="73">
        <v>79.986</v>
      </c>
      <c r="M15" s="73">
        <v>89.436</v>
      </c>
      <c r="N15" s="73">
        <v>96.612</v>
      </c>
      <c r="O15" s="73">
        <v>98.296</v>
      </c>
      <c r="P15" s="40"/>
    </row>
    <row r="16" spans="1:16" s="32" customFormat="1" ht="11.25" thickBot="1">
      <c r="A16" s="460"/>
      <c r="B16" s="460"/>
      <c r="C16" s="96" t="s">
        <v>318</v>
      </c>
      <c r="D16" s="70">
        <f>SUM(D17:D19)</f>
        <v>30662.637</v>
      </c>
      <c r="E16" s="70">
        <f aca="true" t="shared" si="3" ref="E16:O16">SUM(E17:E19)</f>
        <v>30672.906000000003</v>
      </c>
      <c r="F16" s="70">
        <f t="shared" si="3"/>
        <v>30720.520999999997</v>
      </c>
      <c r="G16" s="70">
        <f t="shared" si="3"/>
        <v>29305.393</v>
      </c>
      <c r="H16" s="70">
        <f t="shared" si="3"/>
        <v>28200.022999999997</v>
      </c>
      <c r="I16" s="70">
        <f t="shared" si="3"/>
        <v>29653.317000000003</v>
      </c>
      <c r="J16" s="70">
        <f t="shared" si="3"/>
        <v>29785.513</v>
      </c>
      <c r="K16" s="70">
        <f t="shared" si="3"/>
        <v>28417.399</v>
      </c>
      <c r="L16" s="70">
        <f t="shared" si="3"/>
        <v>29080.585</v>
      </c>
      <c r="M16" s="70">
        <f t="shared" si="3"/>
        <v>26067.283</v>
      </c>
      <c r="N16" s="70">
        <f t="shared" si="3"/>
        <v>26520.933</v>
      </c>
      <c r="O16" s="70">
        <f t="shared" si="3"/>
        <v>28834.118</v>
      </c>
      <c r="P16" s="40"/>
    </row>
    <row r="17" spans="1:16" s="32" customFormat="1" ht="11.25">
      <c r="A17" s="460"/>
      <c r="B17" s="460"/>
      <c r="C17" s="95" t="s">
        <v>354</v>
      </c>
      <c r="D17" s="69">
        <v>4744.169</v>
      </c>
      <c r="E17" s="69">
        <v>5327.939</v>
      </c>
      <c r="F17" s="69">
        <v>5506.886</v>
      </c>
      <c r="G17" s="69">
        <v>5471.866</v>
      </c>
      <c r="H17" s="69">
        <v>5244.334</v>
      </c>
      <c r="I17" s="69">
        <v>5317.649</v>
      </c>
      <c r="J17" s="69">
        <v>5620.414</v>
      </c>
      <c r="K17" s="69">
        <v>5875.277</v>
      </c>
      <c r="L17" s="69">
        <v>5806.912</v>
      </c>
      <c r="M17" s="69">
        <v>5807.944</v>
      </c>
      <c r="N17" s="69">
        <v>5772.026</v>
      </c>
      <c r="O17" s="69">
        <v>5997.352</v>
      </c>
      <c r="P17" s="41"/>
    </row>
    <row r="18" spans="1:16" s="32" customFormat="1" ht="11.25">
      <c r="A18" s="460"/>
      <c r="B18" s="460"/>
      <c r="C18" s="92" t="s">
        <v>355</v>
      </c>
      <c r="D18" s="60">
        <v>20655.202</v>
      </c>
      <c r="E18" s="60">
        <v>20080.588</v>
      </c>
      <c r="F18" s="60">
        <v>19637.352</v>
      </c>
      <c r="G18" s="60">
        <v>18075.871</v>
      </c>
      <c r="H18" s="60">
        <v>17164.957</v>
      </c>
      <c r="I18" s="60">
        <v>18389.497</v>
      </c>
      <c r="J18" s="60">
        <v>18108.867</v>
      </c>
      <c r="K18" s="60">
        <v>16501.449</v>
      </c>
      <c r="L18" s="60">
        <v>17400.78</v>
      </c>
      <c r="M18" s="60">
        <v>14558.622</v>
      </c>
      <c r="N18" s="60">
        <v>15075.937</v>
      </c>
      <c r="O18" s="60">
        <v>17169.914</v>
      </c>
      <c r="P18" s="41"/>
    </row>
    <row r="19" spans="1:16" s="32" customFormat="1" ht="12" thickBot="1">
      <c r="A19" s="460"/>
      <c r="B19" s="460"/>
      <c r="C19" s="93" t="s">
        <v>356</v>
      </c>
      <c r="D19" s="73">
        <v>5263.266</v>
      </c>
      <c r="E19" s="73">
        <v>5264.379</v>
      </c>
      <c r="F19" s="73">
        <v>5576.283</v>
      </c>
      <c r="G19" s="73">
        <v>5757.656</v>
      </c>
      <c r="H19" s="73">
        <v>5790.732</v>
      </c>
      <c r="I19" s="73">
        <v>5946.171</v>
      </c>
      <c r="J19" s="73">
        <v>6056.232</v>
      </c>
      <c r="K19" s="73">
        <v>6040.673</v>
      </c>
      <c r="L19" s="73">
        <v>5872.893</v>
      </c>
      <c r="M19" s="73">
        <v>5700.717</v>
      </c>
      <c r="N19" s="73">
        <v>5672.97</v>
      </c>
      <c r="O19" s="73">
        <v>5666.852</v>
      </c>
      <c r="P19" s="41"/>
    </row>
    <row r="20" spans="1:16" s="32" customFormat="1" ht="11.25" thickBot="1">
      <c r="A20" s="460"/>
      <c r="B20" s="460"/>
      <c r="C20" s="96" t="s">
        <v>326</v>
      </c>
      <c r="D20" s="76">
        <v>3834.504</v>
      </c>
      <c r="E20" s="76">
        <v>3913.048</v>
      </c>
      <c r="F20" s="76">
        <v>3901.245</v>
      </c>
      <c r="G20" s="76">
        <v>3973.516</v>
      </c>
      <c r="H20" s="76">
        <v>4173.475</v>
      </c>
      <c r="I20" s="76">
        <v>4268.881</v>
      </c>
      <c r="J20" s="76">
        <v>4246.972</v>
      </c>
      <c r="K20" s="76">
        <v>3981.282</v>
      </c>
      <c r="L20" s="76">
        <v>3961.177</v>
      </c>
      <c r="M20" s="76">
        <v>4174.875</v>
      </c>
      <c r="N20" s="76">
        <v>4185.084</v>
      </c>
      <c r="O20" s="76">
        <v>3695.042</v>
      </c>
      <c r="P20" s="41"/>
    </row>
    <row r="21" spans="1:16" s="32" customFormat="1" ht="11.25" thickBot="1">
      <c r="A21" s="460"/>
      <c r="B21" s="460"/>
      <c r="C21" s="96" t="s">
        <v>357</v>
      </c>
      <c r="D21" s="76">
        <v>450.054</v>
      </c>
      <c r="E21" s="76">
        <v>456.52</v>
      </c>
      <c r="F21" s="76">
        <v>463.511</v>
      </c>
      <c r="G21" s="76">
        <v>541.668</v>
      </c>
      <c r="H21" s="76">
        <v>781.229</v>
      </c>
      <c r="I21" s="76">
        <v>831.771</v>
      </c>
      <c r="J21" s="76">
        <v>802.313</v>
      </c>
      <c r="K21" s="76">
        <v>641.765</v>
      </c>
      <c r="L21" s="76">
        <v>614.893</v>
      </c>
      <c r="M21" s="76">
        <v>489.456</v>
      </c>
      <c r="N21" s="76">
        <v>449.965</v>
      </c>
      <c r="O21" s="76">
        <v>383.246</v>
      </c>
      <c r="P21" s="40"/>
    </row>
    <row r="22" spans="1:16" ht="13.5" thickBot="1">
      <c r="A22" s="460"/>
      <c r="B22" s="461"/>
      <c r="C22" s="89" t="s">
        <v>328</v>
      </c>
      <c r="D22" s="76">
        <v>125226.613</v>
      </c>
      <c r="E22" s="76">
        <v>126894.488</v>
      </c>
      <c r="F22" s="76">
        <v>128343.566</v>
      </c>
      <c r="G22" s="76">
        <v>129089.253</v>
      </c>
      <c r="H22" s="76">
        <v>129945.67</v>
      </c>
      <c r="I22" s="76">
        <v>133339.814</v>
      </c>
      <c r="J22" s="76">
        <v>135896.396</v>
      </c>
      <c r="K22" s="76">
        <v>136726.035</v>
      </c>
      <c r="L22" s="76">
        <v>138290.629</v>
      </c>
      <c r="M22" s="76">
        <v>136324.771</v>
      </c>
      <c r="N22" s="76">
        <v>138325.645</v>
      </c>
      <c r="O22" s="76">
        <v>142090.04</v>
      </c>
      <c r="P22" s="90"/>
    </row>
    <row r="23" spans="1:16" ht="13.5" thickBot="1">
      <c r="A23" s="460"/>
      <c r="B23" s="465" t="s">
        <v>344</v>
      </c>
      <c r="C23" s="96" t="s">
        <v>358</v>
      </c>
      <c r="D23" s="76">
        <f>SUM(D24:D25)</f>
        <v>87986.799</v>
      </c>
      <c r="E23" s="76">
        <f aca="true" t="shared" si="4" ref="E23:O23">SUM(E24:E25)</f>
        <v>89190.957</v>
      </c>
      <c r="F23" s="76">
        <f t="shared" si="4"/>
        <v>89809.778</v>
      </c>
      <c r="G23" s="76">
        <f t="shared" si="4"/>
        <v>91394.84400000001</v>
      </c>
      <c r="H23" s="76">
        <f t="shared" si="4"/>
        <v>91279.653</v>
      </c>
      <c r="I23" s="76">
        <f t="shared" si="4"/>
        <v>92810.955</v>
      </c>
      <c r="J23" s="76">
        <f t="shared" si="4"/>
        <v>95306.97200000001</v>
      </c>
      <c r="K23" s="76">
        <f t="shared" si="4"/>
        <v>96557.689</v>
      </c>
      <c r="L23" s="76">
        <f t="shared" si="4"/>
        <v>96795.811</v>
      </c>
      <c r="M23" s="76">
        <f t="shared" si="4"/>
        <v>96652.23199999999</v>
      </c>
      <c r="N23" s="76">
        <f t="shared" si="4"/>
        <v>97775.653</v>
      </c>
      <c r="O23" s="76">
        <f t="shared" si="4"/>
        <v>99907.85</v>
      </c>
      <c r="P23" s="41"/>
    </row>
    <row r="24" spans="1:16" ht="12.75">
      <c r="A24" s="460"/>
      <c r="B24" s="466"/>
      <c r="C24" s="95" t="s">
        <v>359</v>
      </c>
      <c r="D24" s="71">
        <v>22712.174</v>
      </c>
      <c r="E24" s="71">
        <v>23184.11</v>
      </c>
      <c r="F24" s="71">
        <v>23528.721</v>
      </c>
      <c r="G24" s="71">
        <v>24503.316</v>
      </c>
      <c r="H24" s="71">
        <v>25319.535</v>
      </c>
      <c r="I24" s="71">
        <v>26666.207</v>
      </c>
      <c r="J24" s="71">
        <v>28068.661</v>
      </c>
      <c r="K24" s="71">
        <v>29476.988</v>
      </c>
      <c r="L24" s="71">
        <v>30558.522</v>
      </c>
      <c r="M24" s="71">
        <v>32037.515</v>
      </c>
      <c r="N24" s="71">
        <v>33268.249</v>
      </c>
      <c r="O24" s="71">
        <v>34309.108</v>
      </c>
      <c r="P24" s="41"/>
    </row>
    <row r="25" spans="1:16" ht="13.5" thickBot="1">
      <c r="A25" s="460"/>
      <c r="B25" s="466"/>
      <c r="C25" s="93" t="s">
        <v>360</v>
      </c>
      <c r="D25" s="65">
        <v>65274.625</v>
      </c>
      <c r="E25" s="65">
        <v>66006.847</v>
      </c>
      <c r="F25" s="65">
        <v>66281.057</v>
      </c>
      <c r="G25" s="65">
        <v>66891.528</v>
      </c>
      <c r="H25" s="65">
        <v>65960.118</v>
      </c>
      <c r="I25" s="65">
        <v>66144.748</v>
      </c>
      <c r="J25" s="65">
        <v>67238.311</v>
      </c>
      <c r="K25" s="65">
        <v>67080.701</v>
      </c>
      <c r="L25" s="65">
        <v>66237.289</v>
      </c>
      <c r="M25" s="65">
        <v>64614.717</v>
      </c>
      <c r="N25" s="65">
        <v>64507.404</v>
      </c>
      <c r="O25" s="65">
        <v>65598.742</v>
      </c>
      <c r="P25" s="41"/>
    </row>
    <row r="26" spans="1:16" ht="13.5" thickBot="1">
      <c r="A26" s="460"/>
      <c r="B26" s="467"/>
      <c r="C26" s="96" t="s">
        <v>361</v>
      </c>
      <c r="D26" s="70">
        <f>SUM(D27:D29)</f>
        <v>1312.44</v>
      </c>
      <c r="E26" s="70">
        <f aca="true" t="shared" si="5" ref="E26:O26">SUM(E27:E29)</f>
        <v>1254.116</v>
      </c>
      <c r="F26" s="70">
        <f t="shared" si="5"/>
        <v>1295.379</v>
      </c>
      <c r="G26" s="70">
        <f t="shared" si="5"/>
        <v>1267.239</v>
      </c>
      <c r="H26" s="70">
        <f t="shared" si="5"/>
        <v>1228.3139999999999</v>
      </c>
      <c r="I26" s="70">
        <f t="shared" si="5"/>
        <v>1457.0639999999999</v>
      </c>
      <c r="J26" s="70">
        <f t="shared" si="5"/>
        <v>1166.263</v>
      </c>
      <c r="K26" s="70">
        <f t="shared" si="5"/>
        <v>1203.49</v>
      </c>
      <c r="L26" s="70">
        <f t="shared" si="5"/>
        <v>1265.066</v>
      </c>
      <c r="M26" s="70">
        <f t="shared" si="5"/>
        <v>1294.9699999999998</v>
      </c>
      <c r="N26" s="70">
        <f t="shared" si="5"/>
        <v>1286.772</v>
      </c>
      <c r="O26" s="70">
        <f t="shared" si="5"/>
        <v>1331.175</v>
      </c>
      <c r="P26" s="40"/>
    </row>
    <row r="27" spans="1:16" ht="12.75">
      <c r="A27" s="460"/>
      <c r="B27" s="466"/>
      <c r="C27" s="95" t="s">
        <v>362</v>
      </c>
      <c r="D27" s="69">
        <v>123.388</v>
      </c>
      <c r="E27" s="69">
        <v>113.524</v>
      </c>
      <c r="F27" s="69">
        <v>120.599</v>
      </c>
      <c r="G27" s="69">
        <v>114.88</v>
      </c>
      <c r="H27" s="69">
        <v>117.297</v>
      </c>
      <c r="I27" s="69">
        <v>164.009</v>
      </c>
      <c r="J27" s="69">
        <v>119.151</v>
      </c>
      <c r="K27" s="69">
        <v>119.682</v>
      </c>
      <c r="L27" s="69">
        <v>126.638</v>
      </c>
      <c r="M27" s="69">
        <v>125.648</v>
      </c>
      <c r="N27" s="69">
        <v>151.397</v>
      </c>
      <c r="O27" s="69">
        <v>166.347</v>
      </c>
      <c r="P27" s="40"/>
    </row>
    <row r="28" spans="1:16" ht="14.25" customHeight="1">
      <c r="A28" s="460"/>
      <c r="B28" s="466"/>
      <c r="C28" s="92" t="s">
        <v>363</v>
      </c>
      <c r="D28" s="60">
        <v>527.537</v>
      </c>
      <c r="E28" s="60">
        <v>554.97</v>
      </c>
      <c r="F28" s="60">
        <v>545.047</v>
      </c>
      <c r="G28" s="60">
        <v>499.977</v>
      </c>
      <c r="H28" s="60">
        <v>448.251</v>
      </c>
      <c r="I28" s="60">
        <v>573.212</v>
      </c>
      <c r="J28" s="60">
        <v>476.113</v>
      </c>
      <c r="K28" s="60">
        <v>494.764</v>
      </c>
      <c r="L28" s="60">
        <v>481.461</v>
      </c>
      <c r="M28" s="60">
        <v>497.239</v>
      </c>
      <c r="N28" s="60">
        <v>454.324</v>
      </c>
      <c r="O28" s="60">
        <v>453.255</v>
      </c>
      <c r="P28" s="40"/>
    </row>
    <row r="29" spans="1:16" ht="13.5" thickBot="1">
      <c r="A29" s="460"/>
      <c r="B29" s="466"/>
      <c r="C29" s="93" t="s">
        <v>364</v>
      </c>
      <c r="D29" s="73">
        <v>661.515</v>
      </c>
      <c r="E29" s="73">
        <v>585.622</v>
      </c>
      <c r="F29" s="73">
        <v>629.733</v>
      </c>
      <c r="G29" s="73">
        <v>652.382</v>
      </c>
      <c r="H29" s="73">
        <v>662.766</v>
      </c>
      <c r="I29" s="73">
        <v>719.843</v>
      </c>
      <c r="J29" s="73">
        <v>570.999</v>
      </c>
      <c r="K29" s="73">
        <v>589.044</v>
      </c>
      <c r="L29" s="73">
        <v>656.967</v>
      </c>
      <c r="M29" s="73">
        <v>672.083</v>
      </c>
      <c r="N29" s="73">
        <v>681.051</v>
      </c>
      <c r="O29" s="73">
        <v>711.573</v>
      </c>
      <c r="P29" s="40"/>
    </row>
    <row r="30" spans="1:16" ht="13.5" thickBot="1">
      <c r="A30" s="460"/>
      <c r="B30" s="467"/>
      <c r="C30" s="96" t="s">
        <v>337</v>
      </c>
      <c r="D30" s="70">
        <f>SUM(D31:D32)</f>
        <v>20396.481</v>
      </c>
      <c r="E30" s="70">
        <f aca="true" t="shared" si="6" ref="E30:O30">SUM(E31:E32)</f>
        <v>20975.589</v>
      </c>
      <c r="F30" s="70">
        <f t="shared" si="6"/>
        <v>21709.301</v>
      </c>
      <c r="G30" s="70">
        <f t="shared" si="6"/>
        <v>20968.529</v>
      </c>
      <c r="H30" s="70">
        <f t="shared" si="6"/>
        <v>21230.435</v>
      </c>
      <c r="I30" s="70">
        <f t="shared" si="6"/>
        <v>22694.714</v>
      </c>
      <c r="J30" s="70">
        <f t="shared" si="6"/>
        <v>22907.945</v>
      </c>
      <c r="K30" s="70">
        <f t="shared" si="6"/>
        <v>22573.035</v>
      </c>
      <c r="L30" s="70">
        <f t="shared" si="6"/>
        <v>23277.742</v>
      </c>
      <c r="M30" s="70">
        <f t="shared" si="6"/>
        <v>21520.311</v>
      </c>
      <c r="N30" s="70">
        <f t="shared" si="6"/>
        <v>21918.046</v>
      </c>
      <c r="O30" s="70">
        <f t="shared" si="6"/>
        <v>23834.442</v>
      </c>
      <c r="P30" s="40"/>
    </row>
    <row r="31" spans="1:16" ht="12.75">
      <c r="A31" s="460"/>
      <c r="B31" s="466"/>
      <c r="C31" s="101" t="s">
        <v>365</v>
      </c>
      <c r="D31" s="69">
        <v>14644.743</v>
      </c>
      <c r="E31" s="69">
        <v>15096.16</v>
      </c>
      <c r="F31" s="69">
        <v>14338.07</v>
      </c>
      <c r="G31" s="69">
        <v>14320.185</v>
      </c>
      <c r="H31" s="69">
        <v>15071.375</v>
      </c>
      <c r="I31" s="69">
        <v>15863.075</v>
      </c>
      <c r="J31" s="69">
        <v>16540.93</v>
      </c>
      <c r="K31" s="69">
        <v>16508.768</v>
      </c>
      <c r="L31" s="69">
        <v>16462.928</v>
      </c>
      <c r="M31" s="69">
        <v>16101.968</v>
      </c>
      <c r="N31" s="69">
        <v>16187.641</v>
      </c>
      <c r="O31" s="69">
        <v>17344.694</v>
      </c>
      <c r="P31" s="41"/>
    </row>
    <row r="32" spans="1:16" ht="13.5" thickBot="1">
      <c r="A32" s="460"/>
      <c r="B32" s="466"/>
      <c r="C32" s="100" t="s">
        <v>366</v>
      </c>
      <c r="D32" s="73">
        <v>5751.738</v>
      </c>
      <c r="E32" s="73">
        <v>5879.429</v>
      </c>
      <c r="F32" s="73">
        <v>7371.231</v>
      </c>
      <c r="G32" s="73">
        <v>6648.344</v>
      </c>
      <c r="H32" s="73">
        <v>6159.06</v>
      </c>
      <c r="I32" s="73">
        <v>6831.639</v>
      </c>
      <c r="J32" s="73">
        <v>6367.015</v>
      </c>
      <c r="K32" s="73">
        <v>6064.267</v>
      </c>
      <c r="L32" s="73">
        <v>6814.814</v>
      </c>
      <c r="M32" s="73">
        <v>5418.343</v>
      </c>
      <c r="N32" s="73">
        <v>5730.405</v>
      </c>
      <c r="O32" s="73">
        <v>6489.748</v>
      </c>
      <c r="P32" s="41"/>
    </row>
    <row r="33" spans="1:16" ht="13.5" thickBot="1">
      <c r="A33" s="460"/>
      <c r="B33" s="467"/>
      <c r="C33" s="96" t="s">
        <v>367</v>
      </c>
      <c r="D33" s="76">
        <v>85.576</v>
      </c>
      <c r="E33" s="76">
        <v>107.186</v>
      </c>
      <c r="F33" s="76">
        <v>91.469</v>
      </c>
      <c r="G33" s="76">
        <v>91.694</v>
      </c>
      <c r="H33" s="76">
        <v>86.027</v>
      </c>
      <c r="I33" s="76">
        <v>135.861</v>
      </c>
      <c r="J33" s="76">
        <v>89.305</v>
      </c>
      <c r="K33" s="76">
        <v>95.305</v>
      </c>
      <c r="L33" s="76">
        <v>96.87</v>
      </c>
      <c r="M33" s="76">
        <v>97.412</v>
      </c>
      <c r="N33" s="76">
        <v>91.758</v>
      </c>
      <c r="O33" s="76">
        <v>92.938</v>
      </c>
      <c r="P33" s="41"/>
    </row>
    <row r="34" spans="1:16" ht="13.5" thickBot="1">
      <c r="A34" s="460"/>
      <c r="B34" s="467"/>
      <c r="C34" s="96" t="s">
        <v>339</v>
      </c>
      <c r="D34" s="70">
        <f>SUM(D35:D36)</f>
        <v>9426.215</v>
      </c>
      <c r="E34" s="70">
        <f aca="true" t="shared" si="7" ref="E34:O34">SUM(E35:E36)</f>
        <v>9454.155</v>
      </c>
      <c r="F34" s="70">
        <f t="shared" si="7"/>
        <v>9485.573999999999</v>
      </c>
      <c r="G34" s="70">
        <f t="shared" si="7"/>
        <v>9648.525000000001</v>
      </c>
      <c r="H34" s="70">
        <f t="shared" si="7"/>
        <v>9864.570000000002</v>
      </c>
      <c r="I34" s="70">
        <f t="shared" si="7"/>
        <v>9995.295</v>
      </c>
      <c r="J34" s="70">
        <f t="shared" si="7"/>
        <v>10071.162</v>
      </c>
      <c r="K34" s="70">
        <f t="shared" si="7"/>
        <v>10027.319</v>
      </c>
      <c r="L34" s="70">
        <f t="shared" si="7"/>
        <v>10649.46</v>
      </c>
      <c r="M34" s="70">
        <f t="shared" si="7"/>
        <v>10750.922999999999</v>
      </c>
      <c r="N34" s="70">
        <f t="shared" si="7"/>
        <v>10777.833</v>
      </c>
      <c r="O34" s="70">
        <f t="shared" si="7"/>
        <v>10705.264000000001</v>
      </c>
      <c r="P34" s="40"/>
    </row>
    <row r="35" spans="1:16" ht="12.75">
      <c r="A35" s="460"/>
      <c r="B35" s="467"/>
      <c r="C35" s="95" t="s">
        <v>368</v>
      </c>
      <c r="D35" s="69">
        <v>8883.16</v>
      </c>
      <c r="E35" s="69">
        <v>8974.589</v>
      </c>
      <c r="F35" s="69">
        <v>9006.38</v>
      </c>
      <c r="G35" s="69">
        <v>9168.959</v>
      </c>
      <c r="H35" s="69">
        <v>9385.004</v>
      </c>
      <c r="I35" s="69">
        <v>9565.327</v>
      </c>
      <c r="J35" s="69">
        <v>9537.824</v>
      </c>
      <c r="K35" s="69">
        <v>9497.599</v>
      </c>
      <c r="L35" s="69">
        <v>10120.622</v>
      </c>
      <c r="M35" s="69">
        <v>10222.085</v>
      </c>
      <c r="N35" s="69">
        <v>10248.995</v>
      </c>
      <c r="O35" s="69">
        <v>10176.573</v>
      </c>
      <c r="P35" s="90"/>
    </row>
    <row r="36" spans="1:16" ht="13.5" thickBot="1">
      <c r="A36" s="460"/>
      <c r="B36" s="467"/>
      <c r="C36" s="93" t="s">
        <v>369</v>
      </c>
      <c r="D36" s="73">
        <v>543.055</v>
      </c>
      <c r="E36" s="73">
        <v>479.566</v>
      </c>
      <c r="F36" s="73">
        <v>479.194</v>
      </c>
      <c r="G36" s="73">
        <v>479.566</v>
      </c>
      <c r="H36" s="73">
        <v>479.566</v>
      </c>
      <c r="I36" s="73">
        <v>429.968</v>
      </c>
      <c r="J36" s="73">
        <v>533.338</v>
      </c>
      <c r="K36" s="73">
        <v>529.72</v>
      </c>
      <c r="L36" s="73">
        <v>528.838</v>
      </c>
      <c r="M36" s="73">
        <v>528.838</v>
      </c>
      <c r="N36" s="73">
        <v>528.838</v>
      </c>
      <c r="O36" s="73">
        <v>528.691</v>
      </c>
      <c r="P36" s="41"/>
    </row>
    <row r="37" spans="1:16" ht="13.5" thickBot="1">
      <c r="A37" s="460"/>
      <c r="B37" s="467"/>
      <c r="C37" s="96" t="s">
        <v>340</v>
      </c>
      <c r="D37" s="76">
        <v>6019.102</v>
      </c>
      <c r="E37" s="76">
        <v>5912.485</v>
      </c>
      <c r="F37" s="76">
        <v>5952.065</v>
      </c>
      <c r="G37" s="76">
        <v>5718.422</v>
      </c>
      <c r="H37" s="76">
        <v>6256.671</v>
      </c>
      <c r="I37" s="76">
        <v>6245.925</v>
      </c>
      <c r="J37" s="76">
        <v>6354.749</v>
      </c>
      <c r="K37" s="76">
        <v>6269.197</v>
      </c>
      <c r="L37" s="76">
        <v>6205.68</v>
      </c>
      <c r="M37" s="76">
        <v>6008.923</v>
      </c>
      <c r="N37" s="76">
        <v>6475.583</v>
      </c>
      <c r="O37" s="76">
        <v>6218.371</v>
      </c>
      <c r="P37" s="40"/>
    </row>
    <row r="38" spans="1:16" ht="13.5" thickBot="1">
      <c r="A38" s="461"/>
      <c r="B38" s="468"/>
      <c r="C38" s="89" t="s">
        <v>341</v>
      </c>
      <c r="D38" s="76">
        <v>125226.613</v>
      </c>
      <c r="E38" s="76">
        <v>126894.488</v>
      </c>
      <c r="F38" s="76">
        <v>128343.566</v>
      </c>
      <c r="G38" s="76">
        <v>129089.253</v>
      </c>
      <c r="H38" s="76">
        <v>129945.67</v>
      </c>
      <c r="I38" s="76">
        <v>133339.814</v>
      </c>
      <c r="J38" s="76">
        <v>135896.396</v>
      </c>
      <c r="K38" s="76">
        <v>136726.035</v>
      </c>
      <c r="L38" s="76">
        <v>138290.629</v>
      </c>
      <c r="M38" s="76">
        <v>136324.771</v>
      </c>
      <c r="N38" s="76">
        <v>138325.645</v>
      </c>
      <c r="O38" s="76">
        <v>142090.04</v>
      </c>
      <c r="P38" s="41"/>
    </row>
    <row r="39" ht="12.75">
      <c r="P39" s="40"/>
    </row>
    <row r="40" ht="12.75">
      <c r="P40" s="40"/>
    </row>
  </sheetData>
  <sheetProtection/>
  <mergeCells count="4">
    <mergeCell ref="D4:O4"/>
    <mergeCell ref="A6:A38"/>
    <mergeCell ref="B6:B22"/>
    <mergeCell ref="B23:B38"/>
  </mergeCells>
  <printOptions horizontalCentered="1"/>
  <pageMargins left="0" right="0" top="0.5" bottom="0.5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CU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5" customWidth="1"/>
    <col min="2" max="2" width="33.00390625" style="56" customWidth="1"/>
    <col min="3" max="14" width="8.7109375" style="86" customWidth="1"/>
    <col min="15" max="20" width="9.140625" style="86" customWidth="1"/>
    <col min="21" max="16384" width="9.140625" style="5" customWidth="1"/>
  </cols>
  <sheetData>
    <row r="1" ht="13.5" customHeight="1">
      <c r="A1" s="6" t="s">
        <v>370</v>
      </c>
    </row>
    <row r="2" ht="12.75" customHeight="1">
      <c r="A2" s="5" t="s">
        <v>303</v>
      </c>
    </row>
    <row r="3" ht="6.75" customHeight="1" thickBot="1"/>
    <row r="4" spans="3:14" ht="13.5" customHeight="1" thickBot="1">
      <c r="C4" s="458">
        <v>2008</v>
      </c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</row>
    <row r="5" spans="3:14" ht="48" thickBot="1">
      <c r="C5" s="67" t="s">
        <v>304</v>
      </c>
      <c r="D5" s="67" t="s">
        <v>305</v>
      </c>
      <c r="E5" s="67" t="s">
        <v>306</v>
      </c>
      <c r="F5" s="67" t="s">
        <v>307</v>
      </c>
      <c r="G5" s="67" t="s">
        <v>308</v>
      </c>
      <c r="H5" s="67" t="s">
        <v>309</v>
      </c>
      <c r="I5" s="67" t="s">
        <v>310</v>
      </c>
      <c r="J5" s="67" t="s">
        <v>311</v>
      </c>
      <c r="K5" s="67" t="s">
        <v>312</v>
      </c>
      <c r="L5" s="67" t="s">
        <v>313</v>
      </c>
      <c r="M5" s="67" t="s">
        <v>314</v>
      </c>
      <c r="N5" s="67" t="s">
        <v>315</v>
      </c>
    </row>
    <row r="6" spans="1:14" ht="18" customHeight="1" thickBot="1">
      <c r="A6" s="469" t="s">
        <v>377</v>
      </c>
      <c r="B6" s="110" t="s">
        <v>371</v>
      </c>
      <c r="C6" s="111">
        <f>SUM(C7:C8)</f>
        <v>3508.2870000000003</v>
      </c>
      <c r="D6" s="111">
        <f aca="true" t="shared" si="0" ref="D6:N6">SUM(D7:D8)</f>
        <v>3571.4359999999997</v>
      </c>
      <c r="E6" s="111">
        <f t="shared" si="0"/>
        <v>3560.64</v>
      </c>
      <c r="F6" s="111">
        <f t="shared" si="0"/>
        <v>3644.846</v>
      </c>
      <c r="G6" s="111">
        <f t="shared" si="0"/>
        <v>3738.673</v>
      </c>
      <c r="H6" s="111">
        <f t="shared" si="0"/>
        <v>3700.173</v>
      </c>
      <c r="I6" s="111">
        <f t="shared" si="0"/>
        <v>3784.695</v>
      </c>
      <c r="J6" s="111">
        <f t="shared" si="0"/>
        <v>3762.434</v>
      </c>
      <c r="K6" s="111">
        <f t="shared" si="0"/>
        <v>3990.249</v>
      </c>
      <c r="L6" s="111">
        <f t="shared" si="0"/>
        <v>3980.0029999999997</v>
      </c>
      <c r="M6" s="111">
        <f t="shared" si="0"/>
        <v>4024.031</v>
      </c>
      <c r="N6" s="111">
        <f t="shared" si="0"/>
        <v>4269.286</v>
      </c>
    </row>
    <row r="7" spans="1:14" ht="18" customHeight="1">
      <c r="A7" s="470"/>
      <c r="B7" s="108" t="s">
        <v>372</v>
      </c>
      <c r="C7" s="109">
        <v>1761.253</v>
      </c>
      <c r="D7" s="109">
        <v>1812.311</v>
      </c>
      <c r="E7" s="109">
        <v>1854.167</v>
      </c>
      <c r="F7" s="109">
        <v>1855.436</v>
      </c>
      <c r="G7" s="109">
        <v>1901.921</v>
      </c>
      <c r="H7" s="109">
        <v>1840.02</v>
      </c>
      <c r="I7" s="109">
        <v>1870.094</v>
      </c>
      <c r="J7" s="109">
        <v>1836.708</v>
      </c>
      <c r="K7" s="109">
        <v>2025.371</v>
      </c>
      <c r="L7" s="109">
        <v>1958.349</v>
      </c>
      <c r="M7" s="109">
        <v>1963.537</v>
      </c>
      <c r="N7" s="109">
        <v>2174.607</v>
      </c>
    </row>
    <row r="8" spans="1:14" ht="18" customHeight="1" thickBot="1">
      <c r="A8" s="470"/>
      <c r="B8" s="106" t="s">
        <v>373</v>
      </c>
      <c r="C8" s="107">
        <v>1747.034</v>
      </c>
      <c r="D8" s="107">
        <v>1759.125</v>
      </c>
      <c r="E8" s="107">
        <v>1706.473</v>
      </c>
      <c r="F8" s="107">
        <v>1789.41</v>
      </c>
      <c r="G8" s="107">
        <v>1836.752</v>
      </c>
      <c r="H8" s="107">
        <v>1860.153</v>
      </c>
      <c r="I8" s="107">
        <v>1914.601</v>
      </c>
      <c r="J8" s="107">
        <v>1925.726</v>
      </c>
      <c r="K8" s="107">
        <v>1964.878</v>
      </c>
      <c r="L8" s="107">
        <v>2021.654</v>
      </c>
      <c r="M8" s="107">
        <v>2060.494</v>
      </c>
      <c r="N8" s="107">
        <v>2094.679</v>
      </c>
    </row>
    <row r="9" spans="1:14" ht="18" customHeight="1" thickBot="1">
      <c r="A9" s="470"/>
      <c r="B9" s="110" t="s">
        <v>374</v>
      </c>
      <c r="C9" s="111">
        <f>SUM(C10:C11)</f>
        <v>87283.226</v>
      </c>
      <c r="D9" s="111">
        <f aca="true" t="shared" si="1" ref="D9:N9">SUM(D10:D11)</f>
        <v>88470.513</v>
      </c>
      <c r="E9" s="111">
        <f t="shared" si="1"/>
        <v>89193.096</v>
      </c>
      <c r="F9" s="111">
        <f t="shared" si="1"/>
        <v>90822.29</v>
      </c>
      <c r="G9" s="111">
        <f t="shared" si="1"/>
        <v>90642.564</v>
      </c>
      <c r="H9" s="111">
        <f t="shared" si="1"/>
        <v>92029.349</v>
      </c>
      <c r="I9" s="111">
        <f t="shared" si="1"/>
        <v>94507.61</v>
      </c>
      <c r="J9" s="111">
        <f t="shared" si="1"/>
        <v>95859.801</v>
      </c>
      <c r="K9" s="111">
        <f t="shared" si="1"/>
        <v>96092.649</v>
      </c>
      <c r="L9" s="111">
        <f t="shared" si="1"/>
        <v>96005.09400000001</v>
      </c>
      <c r="M9" s="111">
        <f t="shared" si="1"/>
        <v>97014.964</v>
      </c>
      <c r="N9" s="111">
        <f t="shared" si="1"/>
        <v>99154.71100000001</v>
      </c>
    </row>
    <row r="10" spans="1:14" ht="18" customHeight="1">
      <c r="A10" s="470"/>
      <c r="B10" s="108" t="s">
        <v>375</v>
      </c>
      <c r="C10" s="109">
        <v>21449.551</v>
      </c>
      <c r="D10" s="109">
        <v>21908.164</v>
      </c>
      <c r="E10" s="109">
        <v>22317.47</v>
      </c>
      <c r="F10" s="109">
        <v>23264.068</v>
      </c>
      <c r="G10" s="109">
        <v>24054.98</v>
      </c>
      <c r="H10" s="109">
        <v>25397.378</v>
      </c>
      <c r="I10" s="109">
        <v>26779.539</v>
      </c>
      <c r="J10" s="109">
        <v>28322.353</v>
      </c>
      <c r="K10" s="109">
        <v>29366.686</v>
      </c>
      <c r="L10" s="109">
        <v>30841.362</v>
      </c>
      <c r="M10" s="109">
        <v>31961.436</v>
      </c>
      <c r="N10" s="109">
        <v>33055.426</v>
      </c>
    </row>
    <row r="11" spans="1:14" ht="18" customHeight="1" thickBot="1">
      <c r="A11" s="470"/>
      <c r="B11" s="106" t="s">
        <v>376</v>
      </c>
      <c r="C11" s="107">
        <v>65833.675</v>
      </c>
      <c r="D11" s="107">
        <v>66562.349</v>
      </c>
      <c r="E11" s="107">
        <v>66875.626</v>
      </c>
      <c r="F11" s="107">
        <v>67558.222</v>
      </c>
      <c r="G11" s="107">
        <v>66587.584</v>
      </c>
      <c r="H11" s="107">
        <v>66631.971</v>
      </c>
      <c r="I11" s="107">
        <v>67728.071</v>
      </c>
      <c r="J11" s="107">
        <v>67537.448</v>
      </c>
      <c r="K11" s="107">
        <v>66725.963</v>
      </c>
      <c r="L11" s="107">
        <v>65163.732</v>
      </c>
      <c r="M11" s="107">
        <v>65053.528</v>
      </c>
      <c r="N11" s="107">
        <v>66099.285</v>
      </c>
    </row>
    <row r="12" spans="1:14" ht="18" customHeight="1" thickBot="1">
      <c r="A12" s="470"/>
      <c r="B12" s="110" t="s">
        <v>367</v>
      </c>
      <c r="C12" s="111">
        <v>79.905</v>
      </c>
      <c r="D12" s="111">
        <v>80.469</v>
      </c>
      <c r="E12" s="111">
        <v>80.874</v>
      </c>
      <c r="F12" s="111">
        <v>78.824</v>
      </c>
      <c r="G12" s="111">
        <v>79.374</v>
      </c>
      <c r="H12" s="111">
        <v>78.962</v>
      </c>
      <c r="I12" s="111">
        <v>79.544</v>
      </c>
      <c r="J12" s="111">
        <v>82.495</v>
      </c>
      <c r="K12" s="111">
        <v>82.857</v>
      </c>
      <c r="L12" s="111">
        <v>81.138</v>
      </c>
      <c r="M12" s="111">
        <v>81.699</v>
      </c>
      <c r="N12" s="111">
        <v>81.665</v>
      </c>
    </row>
    <row r="13" spans="1:14" ht="18" customHeight="1" thickBot="1">
      <c r="A13" s="470"/>
      <c r="B13" s="110" t="s">
        <v>378</v>
      </c>
      <c r="C13" s="111">
        <v>5635.386</v>
      </c>
      <c r="D13" s="111">
        <v>5687.834</v>
      </c>
      <c r="E13" s="111">
        <v>5692.205</v>
      </c>
      <c r="F13" s="111">
        <v>5619.205</v>
      </c>
      <c r="G13" s="111">
        <v>5455.9</v>
      </c>
      <c r="H13" s="111">
        <v>5563</v>
      </c>
      <c r="I13" s="111">
        <v>5624</v>
      </c>
      <c r="J13" s="111">
        <v>5693</v>
      </c>
      <c r="K13" s="111">
        <v>5774</v>
      </c>
      <c r="L13" s="111">
        <v>5837</v>
      </c>
      <c r="M13" s="111">
        <v>6105</v>
      </c>
      <c r="N13" s="111">
        <v>5906</v>
      </c>
    </row>
    <row r="14" spans="1:14" ht="18" customHeight="1" thickBot="1">
      <c r="A14" s="470"/>
      <c r="B14" s="110" t="s">
        <v>379</v>
      </c>
      <c r="C14" s="111">
        <v>3508.287</v>
      </c>
      <c r="D14" s="111">
        <v>3571.436</v>
      </c>
      <c r="E14" s="111">
        <v>3560.64</v>
      </c>
      <c r="F14" s="111">
        <v>3644.846</v>
      </c>
      <c r="G14" s="111">
        <v>3738.673</v>
      </c>
      <c r="H14" s="111">
        <v>3700.173</v>
      </c>
      <c r="I14" s="111">
        <v>3784.695</v>
      </c>
      <c r="J14" s="111">
        <v>3762.434</v>
      </c>
      <c r="K14" s="111">
        <v>3990.249</v>
      </c>
      <c r="L14" s="111">
        <v>3980.003</v>
      </c>
      <c r="M14" s="111">
        <v>4024.031</v>
      </c>
      <c r="N14" s="111">
        <v>4269.286</v>
      </c>
    </row>
    <row r="15" spans="1:14" ht="18" customHeight="1" thickBot="1">
      <c r="A15" s="470"/>
      <c r="B15" s="110" t="s">
        <v>380</v>
      </c>
      <c r="C15" s="111">
        <v>24957.838</v>
      </c>
      <c r="D15" s="111">
        <v>25479.6</v>
      </c>
      <c r="E15" s="111">
        <v>25878.11</v>
      </c>
      <c r="F15" s="111">
        <v>26908.914</v>
      </c>
      <c r="G15" s="111">
        <v>27793.653</v>
      </c>
      <c r="H15" s="111">
        <v>29097.551</v>
      </c>
      <c r="I15" s="111">
        <v>30564.234</v>
      </c>
      <c r="J15" s="111">
        <v>32084.787</v>
      </c>
      <c r="K15" s="111">
        <v>33356.935</v>
      </c>
      <c r="L15" s="111">
        <v>34821.365</v>
      </c>
      <c r="M15" s="111">
        <v>35985.467</v>
      </c>
      <c r="N15" s="111">
        <v>37324.712</v>
      </c>
    </row>
    <row r="16" spans="1:14" ht="18" customHeight="1" thickBot="1">
      <c r="A16" s="470"/>
      <c r="B16" s="110" t="s">
        <v>381</v>
      </c>
      <c r="C16" s="111">
        <v>90871.418</v>
      </c>
      <c r="D16" s="111">
        <v>92122.418</v>
      </c>
      <c r="E16" s="111">
        <v>92834.61</v>
      </c>
      <c r="F16" s="111">
        <v>94545.96</v>
      </c>
      <c r="G16" s="111">
        <v>94460.611</v>
      </c>
      <c r="H16" s="111">
        <v>95808.484</v>
      </c>
      <c r="I16" s="111">
        <v>98371.849</v>
      </c>
      <c r="J16" s="111">
        <v>99704.73</v>
      </c>
      <c r="K16" s="111">
        <v>100165.755</v>
      </c>
      <c r="L16" s="111">
        <v>100066.235</v>
      </c>
      <c r="M16" s="111">
        <v>101120.694</v>
      </c>
      <c r="N16" s="111">
        <v>103505.662</v>
      </c>
    </row>
    <row r="17" spans="1:14" ht="18" customHeight="1" thickBot="1">
      <c r="A17" s="470"/>
      <c r="B17" s="110" t="s">
        <v>390</v>
      </c>
      <c r="C17" s="111">
        <v>96506.804</v>
      </c>
      <c r="D17" s="111">
        <v>97810.252</v>
      </c>
      <c r="E17" s="111">
        <v>98526.815</v>
      </c>
      <c r="F17" s="111">
        <v>100165.165</v>
      </c>
      <c r="G17" s="111">
        <v>99916.511</v>
      </c>
      <c r="H17" s="111">
        <v>101371.484</v>
      </c>
      <c r="I17" s="111">
        <v>103995.849</v>
      </c>
      <c r="J17" s="111">
        <v>105397.73</v>
      </c>
      <c r="K17" s="111">
        <v>105939.755</v>
      </c>
      <c r="L17" s="111">
        <v>105903.235</v>
      </c>
      <c r="M17" s="111">
        <v>107225.694</v>
      </c>
      <c r="N17" s="111">
        <v>109411.662</v>
      </c>
    </row>
    <row r="18" spans="1:14" ht="18" customHeight="1" thickBot="1">
      <c r="A18" s="470"/>
      <c r="B18" s="110" t="s">
        <v>382</v>
      </c>
      <c r="C18" s="111">
        <f>SUM(C19:C20)</f>
        <v>37347.691999999995</v>
      </c>
      <c r="D18" s="111">
        <f aca="true" t="shared" si="2" ref="D18:N18">SUM(D19:D20)</f>
        <v>38914.828</v>
      </c>
      <c r="E18" s="111">
        <f t="shared" si="2"/>
        <v>37799.186</v>
      </c>
      <c r="F18" s="111">
        <f t="shared" si="2"/>
        <v>36982.865000000005</v>
      </c>
      <c r="G18" s="111">
        <f t="shared" si="2"/>
        <v>36510.335</v>
      </c>
      <c r="H18" s="111">
        <f t="shared" si="2"/>
        <v>38333.399</v>
      </c>
      <c r="I18" s="111">
        <f t="shared" si="2"/>
        <v>40255.089</v>
      </c>
      <c r="J18" s="111">
        <f t="shared" si="2"/>
        <v>39626.047</v>
      </c>
      <c r="K18" s="111">
        <f t="shared" si="2"/>
        <v>40558.469</v>
      </c>
      <c r="L18" s="111">
        <f t="shared" si="2"/>
        <v>38359.548</v>
      </c>
      <c r="M18" s="111">
        <f t="shared" si="2"/>
        <v>40009.201</v>
      </c>
      <c r="N18" s="111">
        <f t="shared" si="2"/>
        <v>42168.928</v>
      </c>
    </row>
    <row r="19" spans="1:14" ht="18" customHeight="1" thickBot="1">
      <c r="A19" s="470"/>
      <c r="B19" s="112" t="s">
        <v>319</v>
      </c>
      <c r="C19" s="113">
        <v>12841.211</v>
      </c>
      <c r="D19" s="113">
        <v>13489.075</v>
      </c>
      <c r="E19" s="113">
        <v>12992.75</v>
      </c>
      <c r="F19" s="113">
        <v>12032.075</v>
      </c>
      <c r="G19" s="113">
        <v>12207.248</v>
      </c>
      <c r="H19" s="113">
        <v>12985.103</v>
      </c>
      <c r="I19" s="113">
        <v>12647.964</v>
      </c>
      <c r="J19" s="113">
        <v>11625.421</v>
      </c>
      <c r="K19" s="113">
        <v>12296.225</v>
      </c>
      <c r="L19" s="113">
        <v>10089.87</v>
      </c>
      <c r="M19" s="113">
        <v>11305.66</v>
      </c>
      <c r="N19" s="113">
        <v>12107.844</v>
      </c>
    </row>
    <row r="20" spans="1:14" ht="18" customHeight="1" thickBot="1">
      <c r="A20" s="470"/>
      <c r="B20" s="112" t="s">
        <v>383</v>
      </c>
      <c r="C20" s="113">
        <v>24506.481</v>
      </c>
      <c r="D20" s="113">
        <v>25425.753</v>
      </c>
      <c r="E20" s="113">
        <v>24806.436</v>
      </c>
      <c r="F20" s="113">
        <v>24950.79</v>
      </c>
      <c r="G20" s="113">
        <v>24303.087</v>
      </c>
      <c r="H20" s="113">
        <v>25348.296</v>
      </c>
      <c r="I20" s="113">
        <v>27607.125</v>
      </c>
      <c r="J20" s="113">
        <v>28000.626</v>
      </c>
      <c r="K20" s="113">
        <v>28262.244</v>
      </c>
      <c r="L20" s="113">
        <v>28269.678</v>
      </c>
      <c r="M20" s="113">
        <v>28703.541</v>
      </c>
      <c r="N20" s="113">
        <v>30061.084</v>
      </c>
    </row>
    <row r="21" spans="1:20" s="7" customFormat="1" ht="18" customHeight="1" thickBot="1">
      <c r="A21" s="470"/>
      <c r="B21" s="110" t="s">
        <v>384</v>
      </c>
      <c r="C21" s="111">
        <f>C22+C23</f>
        <v>36388.907</v>
      </c>
      <c r="D21" s="111">
        <f aca="true" t="shared" si="3" ref="D21:N21">D22+D23</f>
        <v>35882.452000000005</v>
      </c>
      <c r="E21" s="111">
        <f t="shared" si="3"/>
        <v>36881.535</v>
      </c>
      <c r="F21" s="111">
        <f t="shared" si="3"/>
        <v>38120.5</v>
      </c>
      <c r="G21" s="111">
        <f t="shared" si="3"/>
        <v>37769.04</v>
      </c>
      <c r="H21" s="111">
        <f t="shared" si="3"/>
        <v>36416.871</v>
      </c>
      <c r="I21" s="111">
        <f t="shared" si="3"/>
        <v>36776.791</v>
      </c>
      <c r="J21" s="111">
        <f t="shared" si="3"/>
        <v>38187.376</v>
      </c>
      <c r="K21" s="111">
        <f t="shared" si="3"/>
        <v>37992.281</v>
      </c>
      <c r="L21" s="111">
        <f t="shared" si="3"/>
        <v>40178.123</v>
      </c>
      <c r="M21" s="111">
        <f t="shared" si="3"/>
        <v>39493.513</v>
      </c>
      <c r="N21" s="111">
        <f t="shared" si="3"/>
        <v>39242.975</v>
      </c>
      <c r="O21" s="102"/>
      <c r="P21" s="102"/>
      <c r="Q21" s="102"/>
      <c r="R21" s="102"/>
      <c r="S21" s="102"/>
      <c r="T21" s="102"/>
    </row>
    <row r="22" spans="1:99" s="9" customFormat="1" ht="18" customHeight="1">
      <c r="A22" s="470"/>
      <c r="B22" s="108" t="s">
        <v>385</v>
      </c>
      <c r="C22" s="109">
        <v>40769.043</v>
      </c>
      <c r="D22" s="109">
        <v>40934.732</v>
      </c>
      <c r="E22" s="109">
        <v>41483.498</v>
      </c>
      <c r="F22" s="109">
        <v>41737.342</v>
      </c>
      <c r="G22" s="109">
        <v>41555.176</v>
      </c>
      <c r="H22" s="109">
        <v>40998.873</v>
      </c>
      <c r="I22" s="109">
        <v>41010.835</v>
      </c>
      <c r="J22" s="109">
        <v>41331.244</v>
      </c>
      <c r="K22" s="109">
        <v>41781.705</v>
      </c>
      <c r="L22" s="109">
        <v>41637.716</v>
      </c>
      <c r="M22" s="109">
        <v>42181.666</v>
      </c>
      <c r="N22" s="109">
        <v>42844.564</v>
      </c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</row>
    <row r="23" spans="1:99" s="9" customFormat="1" ht="18" customHeight="1" thickBot="1">
      <c r="A23" s="470"/>
      <c r="B23" s="106" t="s">
        <v>386</v>
      </c>
      <c r="C23" s="107">
        <v>-4380.136</v>
      </c>
      <c r="D23" s="107">
        <v>-5052.28</v>
      </c>
      <c r="E23" s="107">
        <v>-4601.963</v>
      </c>
      <c r="F23" s="107">
        <v>-3616.842</v>
      </c>
      <c r="G23" s="107">
        <v>-3786.136</v>
      </c>
      <c r="H23" s="107">
        <v>-4582.002</v>
      </c>
      <c r="I23" s="107">
        <v>-4234.044</v>
      </c>
      <c r="J23" s="107">
        <v>-3143.868</v>
      </c>
      <c r="K23" s="107">
        <v>-3789.424</v>
      </c>
      <c r="L23" s="107">
        <v>-1459.593</v>
      </c>
      <c r="M23" s="107">
        <v>-2688.153</v>
      </c>
      <c r="N23" s="107">
        <v>-3601.589</v>
      </c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</row>
    <row r="24" spans="1:14" s="9" customFormat="1" ht="18" customHeight="1" thickBot="1">
      <c r="A24" s="470"/>
      <c r="B24" s="110" t="s">
        <v>387</v>
      </c>
      <c r="C24" s="111">
        <f>SUM(C25:C26)</f>
        <v>28469.489</v>
      </c>
      <c r="D24" s="111">
        <f aca="true" t="shared" si="4" ref="D24:N24">SUM(D25:D26)</f>
        <v>28552.681</v>
      </c>
      <c r="E24" s="111">
        <f t="shared" si="4"/>
        <v>29333.938</v>
      </c>
      <c r="F24" s="111">
        <f t="shared" si="4"/>
        <v>30154.426</v>
      </c>
      <c r="G24" s="111">
        <f t="shared" si="4"/>
        <v>30861.413</v>
      </c>
      <c r="H24" s="111">
        <f t="shared" si="4"/>
        <v>31357.535</v>
      </c>
      <c r="I24" s="111">
        <f t="shared" si="4"/>
        <v>31828.362</v>
      </c>
      <c r="J24" s="111">
        <f t="shared" si="4"/>
        <v>32455.055</v>
      </c>
      <c r="K24" s="111">
        <f t="shared" si="4"/>
        <v>32548.728000000003</v>
      </c>
      <c r="L24" s="111">
        <f t="shared" si="4"/>
        <v>32271.006</v>
      </c>
      <c r="M24" s="111">
        <f t="shared" si="4"/>
        <v>32427.512000000002</v>
      </c>
      <c r="N24" s="111">
        <f t="shared" si="4"/>
        <v>33482.378000000004</v>
      </c>
    </row>
    <row r="25" spans="1:14" s="9" customFormat="1" ht="18" customHeight="1">
      <c r="A25" s="470"/>
      <c r="B25" s="99" t="s">
        <v>348</v>
      </c>
      <c r="C25" s="115">
        <v>4542.011</v>
      </c>
      <c r="D25" s="115">
        <v>4551.21</v>
      </c>
      <c r="E25" s="115">
        <v>4628.91</v>
      </c>
      <c r="F25" s="115">
        <v>4897.32</v>
      </c>
      <c r="G25" s="115">
        <v>4748.77</v>
      </c>
      <c r="H25" s="115">
        <v>4835.932</v>
      </c>
      <c r="I25" s="115">
        <v>4897.462</v>
      </c>
      <c r="J25" s="115">
        <v>4990.441</v>
      </c>
      <c r="K25" s="115">
        <v>5043.846</v>
      </c>
      <c r="L25" s="115">
        <v>5135.149</v>
      </c>
      <c r="M25" s="115">
        <v>5213.529</v>
      </c>
      <c r="N25" s="115">
        <v>5355.548</v>
      </c>
    </row>
    <row r="26" spans="1:14" s="9" customFormat="1" ht="18" customHeight="1" thickBot="1">
      <c r="A26" s="470"/>
      <c r="B26" s="98" t="s">
        <v>349</v>
      </c>
      <c r="C26" s="114">
        <v>23927.478</v>
      </c>
      <c r="D26" s="114">
        <v>24001.471</v>
      </c>
      <c r="E26" s="114">
        <v>24705.028</v>
      </c>
      <c r="F26" s="114">
        <v>25257.106</v>
      </c>
      <c r="G26" s="114">
        <v>26112.643</v>
      </c>
      <c r="H26" s="114">
        <v>26521.603</v>
      </c>
      <c r="I26" s="114">
        <v>26930.9</v>
      </c>
      <c r="J26" s="114">
        <v>27464.614</v>
      </c>
      <c r="K26" s="114">
        <v>27504.882</v>
      </c>
      <c r="L26" s="114">
        <v>27135.857</v>
      </c>
      <c r="M26" s="114">
        <v>27213.983</v>
      </c>
      <c r="N26" s="114">
        <v>28126.83</v>
      </c>
    </row>
    <row r="27" spans="1:14" s="9" customFormat="1" ht="18" customHeight="1" thickBot="1">
      <c r="A27" s="470"/>
      <c r="B27" s="91" t="s">
        <v>388</v>
      </c>
      <c r="C27" s="116">
        <v>-11334.67</v>
      </c>
      <c r="D27" s="116">
        <v>-11227.543</v>
      </c>
      <c r="E27" s="116">
        <v>-11180.049</v>
      </c>
      <c r="F27" s="116">
        <v>-10711.831</v>
      </c>
      <c r="G27" s="116">
        <v>-10680.177</v>
      </c>
      <c r="H27" s="116">
        <v>-10299.321</v>
      </c>
      <c r="I27" s="116">
        <v>-10488.393</v>
      </c>
      <c r="J27" s="116">
        <v>-10563.748</v>
      </c>
      <c r="K27" s="116">
        <v>-10933.723</v>
      </c>
      <c r="L27" s="116">
        <v>-10742.442</v>
      </c>
      <c r="M27" s="116">
        <v>-10809.532</v>
      </c>
      <c r="N27" s="116">
        <v>-11388.619</v>
      </c>
    </row>
    <row r="28" spans="1:14" s="9" customFormat="1" ht="18" customHeight="1" thickBot="1">
      <c r="A28" s="471"/>
      <c r="B28" s="117" t="s">
        <v>389</v>
      </c>
      <c r="C28" s="116">
        <f>C18+C21+C24+C27</f>
        <v>90871.41799999999</v>
      </c>
      <c r="D28" s="116">
        <f aca="true" t="shared" si="5" ref="D28:N28">D18+D21+D24+D27</f>
        <v>92122.41799999999</v>
      </c>
      <c r="E28" s="116">
        <f t="shared" si="5"/>
        <v>92834.61</v>
      </c>
      <c r="F28" s="116">
        <f t="shared" si="5"/>
        <v>94545.95999999999</v>
      </c>
      <c r="G28" s="116">
        <f t="shared" si="5"/>
        <v>94460.611</v>
      </c>
      <c r="H28" s="116">
        <f t="shared" si="5"/>
        <v>95808.484</v>
      </c>
      <c r="I28" s="116">
        <f t="shared" si="5"/>
        <v>98371.849</v>
      </c>
      <c r="J28" s="116">
        <f t="shared" si="5"/>
        <v>99704.73000000001</v>
      </c>
      <c r="K28" s="116">
        <f t="shared" si="5"/>
        <v>100165.755</v>
      </c>
      <c r="L28" s="116">
        <f t="shared" si="5"/>
        <v>100066.235</v>
      </c>
      <c r="M28" s="116">
        <f t="shared" si="5"/>
        <v>101120.69400000002</v>
      </c>
      <c r="N28" s="116">
        <f t="shared" si="5"/>
        <v>103505.66199999998</v>
      </c>
    </row>
    <row r="29" spans="1:2" s="9" customFormat="1" ht="10.5">
      <c r="A29" s="34"/>
      <c r="B29" s="103"/>
    </row>
    <row r="30" spans="1:2" s="9" customFormat="1" ht="10.5">
      <c r="A30" s="34"/>
      <c r="B30" s="103"/>
    </row>
    <row r="31" spans="1:2" s="9" customFormat="1" ht="10.5">
      <c r="A31" s="34"/>
      <c r="B31" s="103"/>
    </row>
    <row r="32" spans="1:2" s="9" customFormat="1" ht="10.5">
      <c r="A32" s="19"/>
      <c r="B32" s="103"/>
    </row>
    <row r="33" spans="1:2" s="9" customFormat="1" ht="10.5">
      <c r="A33" s="19"/>
      <c r="B33" s="103"/>
    </row>
    <row r="34" spans="1:2" s="9" customFormat="1" ht="10.5">
      <c r="A34" s="19"/>
      <c r="B34" s="103"/>
    </row>
  </sheetData>
  <sheetProtection/>
  <mergeCells count="2">
    <mergeCell ref="C4:N4"/>
    <mergeCell ref="A6:A28"/>
  </mergeCells>
  <printOptions horizontalCentered="1"/>
  <pageMargins left="0" right="0" top="0.5" bottom="0.5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Q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5" customWidth="1"/>
    <col min="2" max="2" width="3.28125" style="52" bestFit="1" customWidth="1"/>
    <col min="3" max="3" width="30.7109375" style="21" customWidth="1"/>
    <col min="4" max="15" width="7.8515625" style="43" customWidth="1"/>
    <col min="16" max="16" width="7.8515625" style="45" customWidth="1"/>
    <col min="17" max="16384" width="9.140625" style="43" customWidth="1"/>
  </cols>
  <sheetData>
    <row r="1" spans="1:2" ht="19.5" customHeight="1">
      <c r="A1" s="6" t="s">
        <v>392</v>
      </c>
      <c r="B1" s="5"/>
    </row>
    <row r="2" spans="1:3" ht="12.75" customHeight="1">
      <c r="A2" s="52" t="s">
        <v>303</v>
      </c>
      <c r="B2" s="5"/>
      <c r="C2" s="22"/>
    </row>
    <row r="3" spans="1:3" ht="12.75" customHeight="1">
      <c r="A3" s="52" t="s">
        <v>393</v>
      </c>
      <c r="B3" s="16"/>
      <c r="C3" s="22"/>
    </row>
    <row r="4" spans="1:3" ht="6.75" customHeight="1" thickBot="1">
      <c r="A4" s="52"/>
      <c r="B4" s="16"/>
      <c r="C4" s="22"/>
    </row>
    <row r="5" spans="1:16" ht="13.5" customHeight="1" thickBot="1">
      <c r="A5" s="120"/>
      <c r="B5" s="16"/>
      <c r="C5" s="22"/>
      <c r="D5" s="472">
        <v>2008</v>
      </c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</row>
    <row r="6" spans="1:16" ht="48" thickBot="1">
      <c r="A6" s="121"/>
      <c r="B6" s="16"/>
      <c r="C6" s="46"/>
      <c r="D6" s="67" t="s">
        <v>304</v>
      </c>
      <c r="E6" s="67" t="s">
        <v>305</v>
      </c>
      <c r="F6" s="67" t="s">
        <v>306</v>
      </c>
      <c r="G6" s="67" t="s">
        <v>307</v>
      </c>
      <c r="H6" s="67" t="s">
        <v>308</v>
      </c>
      <c r="I6" s="67" t="s">
        <v>309</v>
      </c>
      <c r="J6" s="67" t="s">
        <v>310</v>
      </c>
      <c r="K6" s="67" t="s">
        <v>311</v>
      </c>
      <c r="L6" s="67" t="s">
        <v>312</v>
      </c>
      <c r="M6" s="67" t="s">
        <v>313</v>
      </c>
      <c r="N6" s="67" t="s">
        <v>314</v>
      </c>
      <c r="O6" s="67" t="s">
        <v>315</v>
      </c>
      <c r="P6" s="67" t="s">
        <v>391</v>
      </c>
    </row>
    <row r="7" spans="1:16" ht="18" customHeight="1" thickBot="1">
      <c r="A7" s="476" t="s">
        <v>394</v>
      </c>
      <c r="B7" s="473" t="s">
        <v>404</v>
      </c>
      <c r="C7" s="119" t="s">
        <v>395</v>
      </c>
      <c r="D7" s="111">
        <f>SUM(D8:D14)</f>
        <v>282.954</v>
      </c>
      <c r="E7" s="111">
        <f aca="true" t="shared" si="0" ref="E7:M7">SUM(E8:E14)</f>
        <v>266.618</v>
      </c>
      <c r="F7" s="111">
        <f t="shared" si="0"/>
        <v>281.627</v>
      </c>
      <c r="G7" s="111">
        <f t="shared" si="0"/>
        <v>281.287</v>
      </c>
      <c r="H7" s="111">
        <f t="shared" si="0"/>
        <v>289.87700000000007</v>
      </c>
      <c r="I7" s="111">
        <f t="shared" si="0"/>
        <v>284.956</v>
      </c>
      <c r="J7" s="111">
        <f t="shared" si="0"/>
        <v>304.1769999999999</v>
      </c>
      <c r="K7" s="111">
        <f t="shared" si="0"/>
        <v>278.718</v>
      </c>
      <c r="L7" s="111">
        <f t="shared" si="0"/>
        <v>276.64500000000004</v>
      </c>
      <c r="M7" s="111">
        <f t="shared" si="0"/>
        <v>295.306</v>
      </c>
      <c r="N7" s="111">
        <f>SUM(N8:N14)</f>
        <v>262.67100000000005</v>
      </c>
      <c r="O7" s="111">
        <f>SUM(O8:O14)</f>
        <v>272.662</v>
      </c>
      <c r="P7" s="128">
        <f aca="true" t="shared" si="1" ref="P7:P28">SUM(D7:O7)</f>
        <v>3377.498</v>
      </c>
    </row>
    <row r="8" spans="1:16" ht="18" customHeight="1">
      <c r="A8" s="477"/>
      <c r="B8" s="474"/>
      <c r="C8" s="108" t="s">
        <v>396</v>
      </c>
      <c r="D8" s="126">
        <v>214.484</v>
      </c>
      <c r="E8" s="126">
        <v>200.896</v>
      </c>
      <c r="F8" s="126">
        <v>211.079</v>
      </c>
      <c r="G8" s="126">
        <v>213.989</v>
      </c>
      <c r="H8" s="126">
        <v>216.496</v>
      </c>
      <c r="I8" s="126">
        <v>215.952</v>
      </c>
      <c r="J8" s="126">
        <v>228.321</v>
      </c>
      <c r="K8" s="126">
        <v>209.502</v>
      </c>
      <c r="L8" s="126">
        <v>209.335</v>
      </c>
      <c r="M8" s="126">
        <v>222.961</v>
      </c>
      <c r="N8" s="126">
        <v>199.577</v>
      </c>
      <c r="O8" s="126">
        <v>208.101</v>
      </c>
      <c r="P8" s="127">
        <f t="shared" si="1"/>
        <v>2550.6930000000007</v>
      </c>
    </row>
    <row r="9" spans="1:17" s="3" customFormat="1" ht="18" customHeight="1">
      <c r="A9" s="477"/>
      <c r="B9" s="474"/>
      <c r="C9" s="133" t="s">
        <v>397</v>
      </c>
      <c r="D9" s="122">
        <v>25.019</v>
      </c>
      <c r="E9" s="122">
        <v>24.139</v>
      </c>
      <c r="F9" s="122">
        <v>25.762</v>
      </c>
      <c r="G9" s="122">
        <v>25.577</v>
      </c>
      <c r="H9" s="122">
        <v>27.783</v>
      </c>
      <c r="I9" s="122">
        <v>26.331</v>
      </c>
      <c r="J9" s="122">
        <v>28.047</v>
      </c>
      <c r="K9" s="122">
        <v>25.374</v>
      </c>
      <c r="L9" s="122">
        <v>24.423</v>
      </c>
      <c r="M9" s="122">
        <v>26.827</v>
      </c>
      <c r="N9" s="122">
        <v>22.953</v>
      </c>
      <c r="O9" s="122">
        <v>24.456</v>
      </c>
      <c r="P9" s="123">
        <f t="shared" si="1"/>
        <v>306.691</v>
      </c>
      <c r="Q9" s="43"/>
    </row>
    <row r="10" spans="1:16" ht="18" customHeight="1">
      <c r="A10" s="477"/>
      <c r="B10" s="474"/>
      <c r="C10" s="133" t="s">
        <v>398</v>
      </c>
      <c r="D10" s="122">
        <v>14.109</v>
      </c>
      <c r="E10" s="122">
        <v>13.215</v>
      </c>
      <c r="F10" s="122">
        <v>14.355</v>
      </c>
      <c r="G10" s="122">
        <v>13.829</v>
      </c>
      <c r="H10" s="122">
        <v>15.193</v>
      </c>
      <c r="I10" s="122">
        <v>13.885</v>
      </c>
      <c r="J10" s="122">
        <v>14.717</v>
      </c>
      <c r="K10" s="122">
        <v>13.395</v>
      </c>
      <c r="L10" s="122">
        <v>13.457</v>
      </c>
      <c r="M10" s="122">
        <v>14.516</v>
      </c>
      <c r="N10" s="122">
        <v>13.33</v>
      </c>
      <c r="O10" s="122">
        <v>13.311</v>
      </c>
      <c r="P10" s="123">
        <f t="shared" si="1"/>
        <v>167.312</v>
      </c>
    </row>
    <row r="11" spans="1:16" ht="18" customHeight="1">
      <c r="A11" s="477"/>
      <c r="B11" s="474"/>
      <c r="C11" s="133" t="s">
        <v>399</v>
      </c>
      <c r="D11" s="122">
        <v>7.883</v>
      </c>
      <c r="E11" s="122">
        <v>7.18</v>
      </c>
      <c r="F11" s="122">
        <v>7.717</v>
      </c>
      <c r="G11" s="122">
        <v>7.739</v>
      </c>
      <c r="H11" s="122">
        <v>8.119</v>
      </c>
      <c r="I11" s="122">
        <v>7.771</v>
      </c>
      <c r="J11" s="122">
        <v>8.657</v>
      </c>
      <c r="K11" s="122">
        <v>8.036</v>
      </c>
      <c r="L11" s="122">
        <v>7.699</v>
      </c>
      <c r="M11" s="122">
        <v>8.244</v>
      </c>
      <c r="N11" s="122">
        <v>7.131</v>
      </c>
      <c r="O11" s="122">
        <v>7.201</v>
      </c>
      <c r="P11" s="123">
        <f t="shared" si="1"/>
        <v>93.377</v>
      </c>
    </row>
    <row r="12" spans="1:16" ht="18" customHeight="1">
      <c r="A12" s="477"/>
      <c r="B12" s="474"/>
      <c r="C12" s="104" t="s">
        <v>400</v>
      </c>
      <c r="D12" s="122">
        <v>10.971</v>
      </c>
      <c r="E12" s="122">
        <v>9.567</v>
      </c>
      <c r="F12" s="122">
        <v>10.83</v>
      </c>
      <c r="G12" s="122">
        <v>10.849</v>
      </c>
      <c r="H12" s="122">
        <v>12.047</v>
      </c>
      <c r="I12" s="122">
        <v>11.692</v>
      </c>
      <c r="J12" s="122">
        <v>14.068</v>
      </c>
      <c r="K12" s="122">
        <v>13.064</v>
      </c>
      <c r="L12" s="122">
        <v>12.605</v>
      </c>
      <c r="M12" s="122">
        <v>13.157</v>
      </c>
      <c r="N12" s="122">
        <v>11.265</v>
      </c>
      <c r="O12" s="122">
        <v>11.255</v>
      </c>
      <c r="P12" s="123">
        <f t="shared" si="1"/>
        <v>141.37</v>
      </c>
    </row>
    <row r="13" spans="1:16" ht="18" customHeight="1">
      <c r="A13" s="477"/>
      <c r="B13" s="474"/>
      <c r="C13" s="133" t="s">
        <v>401</v>
      </c>
      <c r="D13" s="122">
        <v>5.979</v>
      </c>
      <c r="E13" s="122">
        <v>7.229</v>
      </c>
      <c r="F13" s="122">
        <v>7.7</v>
      </c>
      <c r="G13" s="122">
        <v>5.664</v>
      </c>
      <c r="H13" s="122">
        <v>6.168</v>
      </c>
      <c r="I13" s="122">
        <v>5.539</v>
      </c>
      <c r="J13" s="122">
        <v>6.145</v>
      </c>
      <c r="K13" s="122">
        <v>5.602</v>
      </c>
      <c r="L13" s="122">
        <v>5.444</v>
      </c>
      <c r="M13" s="122">
        <v>5.665</v>
      </c>
      <c r="N13" s="122">
        <v>5.002</v>
      </c>
      <c r="O13" s="122">
        <v>4.979</v>
      </c>
      <c r="P13" s="123">
        <f t="shared" si="1"/>
        <v>71.11600000000001</v>
      </c>
    </row>
    <row r="14" spans="1:16" ht="18" customHeight="1" thickBot="1">
      <c r="A14" s="477"/>
      <c r="B14" s="474"/>
      <c r="C14" s="134" t="s">
        <v>402</v>
      </c>
      <c r="D14" s="124">
        <v>4.509</v>
      </c>
      <c r="E14" s="124">
        <v>4.392</v>
      </c>
      <c r="F14" s="124">
        <v>4.184</v>
      </c>
      <c r="G14" s="124">
        <v>3.64</v>
      </c>
      <c r="H14" s="124">
        <v>4.071</v>
      </c>
      <c r="I14" s="124">
        <v>3.786</v>
      </c>
      <c r="J14" s="124">
        <v>4.222</v>
      </c>
      <c r="K14" s="124">
        <v>3.745</v>
      </c>
      <c r="L14" s="124">
        <v>3.682</v>
      </c>
      <c r="M14" s="124">
        <v>3.936</v>
      </c>
      <c r="N14" s="124">
        <v>3.413</v>
      </c>
      <c r="O14" s="124">
        <v>3.359</v>
      </c>
      <c r="P14" s="125">
        <f t="shared" si="1"/>
        <v>46.939</v>
      </c>
    </row>
    <row r="15" spans="1:16" ht="18" customHeight="1" thickBot="1">
      <c r="A15" s="477"/>
      <c r="B15" s="474"/>
      <c r="C15" s="88" t="s">
        <v>403</v>
      </c>
      <c r="D15" s="111">
        <f>SUM(D16:D22)</f>
        <v>1154.7881053500005</v>
      </c>
      <c r="E15" s="111">
        <f aca="true" t="shared" si="2" ref="E15:O15">SUM(E16:E22)</f>
        <v>1082.049871893</v>
      </c>
      <c r="F15" s="111">
        <f t="shared" si="2"/>
        <v>1129.5929914160001</v>
      </c>
      <c r="G15" s="111">
        <f t="shared" si="2"/>
        <v>1137.692385639</v>
      </c>
      <c r="H15" s="111">
        <f t="shared" si="2"/>
        <v>1129.3391415429999</v>
      </c>
      <c r="I15" s="111">
        <f t="shared" si="2"/>
        <v>1191.4777377409998</v>
      </c>
      <c r="J15" s="111">
        <f t="shared" si="2"/>
        <v>1278.6955448679998</v>
      </c>
      <c r="K15" s="111">
        <f t="shared" si="2"/>
        <v>1164.1762265420002</v>
      </c>
      <c r="L15" s="111">
        <f t="shared" si="2"/>
        <v>1140.0291309030001</v>
      </c>
      <c r="M15" s="111">
        <f t="shared" si="2"/>
        <v>1278.6549641249999</v>
      </c>
      <c r="N15" s="111">
        <f t="shared" si="2"/>
        <v>1151.9022861679998</v>
      </c>
      <c r="O15" s="111">
        <f t="shared" si="2"/>
        <v>1252.9937555739998</v>
      </c>
      <c r="P15" s="132">
        <f t="shared" si="1"/>
        <v>14091.392141762</v>
      </c>
    </row>
    <row r="16" spans="1:16" ht="18" customHeight="1">
      <c r="A16" s="477"/>
      <c r="B16" s="474"/>
      <c r="C16" s="108" t="s">
        <v>396</v>
      </c>
      <c r="D16" s="69">
        <v>963.3895156320001</v>
      </c>
      <c r="E16" s="69">
        <v>894.017572421</v>
      </c>
      <c r="F16" s="69">
        <v>929.5444749999999</v>
      </c>
      <c r="G16" s="69">
        <v>942.842656432</v>
      </c>
      <c r="H16" s="69">
        <v>917.9814033040001</v>
      </c>
      <c r="I16" s="69">
        <v>992.140036874</v>
      </c>
      <c r="J16" s="69">
        <v>1066.2612951219999</v>
      </c>
      <c r="K16" s="69">
        <v>970.409389357</v>
      </c>
      <c r="L16" s="69">
        <v>943.802109412</v>
      </c>
      <c r="M16" s="69">
        <v>1064.869520456</v>
      </c>
      <c r="N16" s="69">
        <v>960.362259613</v>
      </c>
      <c r="O16" s="69">
        <v>1056.9620394009999</v>
      </c>
      <c r="P16" s="131">
        <f t="shared" si="1"/>
        <v>11702.582273024002</v>
      </c>
    </row>
    <row r="17" spans="1:16" ht="18" customHeight="1">
      <c r="A17" s="477"/>
      <c r="B17" s="474"/>
      <c r="C17" s="133" t="s">
        <v>397</v>
      </c>
      <c r="D17" s="60">
        <v>65.13275351</v>
      </c>
      <c r="E17" s="60">
        <v>65.77215265400001</v>
      </c>
      <c r="F17" s="60">
        <v>61.239182547</v>
      </c>
      <c r="G17" s="60">
        <v>67.76188262999999</v>
      </c>
      <c r="H17" s="60">
        <v>72.93570339700001</v>
      </c>
      <c r="I17" s="60">
        <v>74.591116524</v>
      </c>
      <c r="J17" s="60">
        <v>64.444251073</v>
      </c>
      <c r="K17" s="60">
        <v>64.509119923</v>
      </c>
      <c r="L17" s="60">
        <v>56.103515351</v>
      </c>
      <c r="M17" s="60">
        <v>73.10487510600001</v>
      </c>
      <c r="N17" s="60">
        <v>60.27733022</v>
      </c>
      <c r="O17" s="60">
        <v>67.812310977</v>
      </c>
      <c r="P17" s="129">
        <f t="shared" si="1"/>
        <v>793.684193912</v>
      </c>
    </row>
    <row r="18" spans="1:16" ht="18" customHeight="1">
      <c r="A18" s="477"/>
      <c r="B18" s="474"/>
      <c r="C18" s="133" t="s">
        <v>398</v>
      </c>
      <c r="D18" s="60">
        <v>43.858783564999996</v>
      </c>
      <c r="E18" s="60">
        <v>42.52175045</v>
      </c>
      <c r="F18" s="60">
        <v>49.921951422</v>
      </c>
      <c r="G18" s="60">
        <v>45.914552809</v>
      </c>
      <c r="H18" s="60">
        <v>49.021019512</v>
      </c>
      <c r="I18" s="60">
        <v>44.419762827</v>
      </c>
      <c r="J18" s="60">
        <v>48.111079239</v>
      </c>
      <c r="K18" s="60">
        <v>42.437311824999995</v>
      </c>
      <c r="L18" s="60">
        <v>46.497682455</v>
      </c>
      <c r="M18" s="60">
        <v>46.488626762</v>
      </c>
      <c r="N18" s="60">
        <v>43.653973082</v>
      </c>
      <c r="O18" s="60">
        <v>46.908102006</v>
      </c>
      <c r="P18" s="129">
        <f t="shared" si="1"/>
        <v>549.754595954</v>
      </c>
    </row>
    <row r="19" spans="1:16" ht="18" customHeight="1">
      <c r="A19" s="477"/>
      <c r="B19" s="474"/>
      <c r="C19" s="133" t="s">
        <v>399</v>
      </c>
      <c r="D19" s="60">
        <v>26.041714853000002</v>
      </c>
      <c r="E19" s="60">
        <v>24.419514016</v>
      </c>
      <c r="F19" s="60">
        <v>25.467714646</v>
      </c>
      <c r="G19" s="60">
        <v>28.241336421</v>
      </c>
      <c r="H19" s="60">
        <v>29.951584527999998</v>
      </c>
      <c r="I19" s="60">
        <v>25.919030438999997</v>
      </c>
      <c r="J19" s="60">
        <v>31.527904301</v>
      </c>
      <c r="K19" s="60">
        <v>28.179065402</v>
      </c>
      <c r="L19" s="60">
        <v>30.691017282</v>
      </c>
      <c r="M19" s="60">
        <v>30.12441118</v>
      </c>
      <c r="N19" s="60">
        <v>29.156816320999997</v>
      </c>
      <c r="O19" s="60">
        <v>26.094022293000002</v>
      </c>
      <c r="P19" s="129">
        <f t="shared" si="1"/>
        <v>335.814131682</v>
      </c>
    </row>
    <row r="20" spans="1:16" ht="18" customHeight="1">
      <c r="A20" s="477"/>
      <c r="B20" s="474"/>
      <c r="C20" s="104" t="s">
        <v>400</v>
      </c>
      <c r="D20" s="60">
        <v>27.735604635</v>
      </c>
      <c r="E20" s="60">
        <v>23.210924985000002</v>
      </c>
      <c r="F20" s="60">
        <v>28.073533457</v>
      </c>
      <c r="G20" s="60">
        <v>26.155986064</v>
      </c>
      <c r="H20" s="60">
        <v>30.128282837</v>
      </c>
      <c r="I20" s="60">
        <v>30.063911368</v>
      </c>
      <c r="J20" s="60">
        <v>39.582266315</v>
      </c>
      <c r="K20" s="60">
        <v>35.126823141</v>
      </c>
      <c r="L20" s="60">
        <v>36.267431732999995</v>
      </c>
      <c r="M20" s="60">
        <v>37.857376917</v>
      </c>
      <c r="N20" s="60">
        <v>32.414304834</v>
      </c>
      <c r="O20" s="60">
        <v>31.195910045</v>
      </c>
      <c r="P20" s="129">
        <f t="shared" si="1"/>
        <v>377.812356331</v>
      </c>
    </row>
    <row r="21" spans="1:16" ht="18" customHeight="1">
      <c r="A21" s="477"/>
      <c r="B21" s="474"/>
      <c r="C21" s="133" t="s">
        <v>401</v>
      </c>
      <c r="D21" s="60">
        <v>17.476346267</v>
      </c>
      <c r="E21" s="60">
        <v>21.556011984</v>
      </c>
      <c r="F21" s="60">
        <v>23.875122069</v>
      </c>
      <c r="G21" s="60">
        <v>18.395578695</v>
      </c>
      <c r="H21" s="60">
        <v>20.655586245</v>
      </c>
      <c r="I21" s="60">
        <v>15.41736573</v>
      </c>
      <c r="J21" s="60">
        <v>18.458981641999998</v>
      </c>
      <c r="K21" s="60">
        <v>15.420857478</v>
      </c>
      <c r="L21" s="60">
        <v>17.724921418999998</v>
      </c>
      <c r="M21" s="60">
        <v>17.229549612</v>
      </c>
      <c r="N21" s="60">
        <v>18.026746538</v>
      </c>
      <c r="O21" s="60">
        <v>15.483302915</v>
      </c>
      <c r="P21" s="129">
        <f t="shared" si="1"/>
        <v>219.72037059399997</v>
      </c>
    </row>
    <row r="22" spans="1:16" ht="18" customHeight="1" thickBot="1">
      <c r="A22" s="477"/>
      <c r="B22" s="475"/>
      <c r="C22" s="134" t="s">
        <v>402</v>
      </c>
      <c r="D22" s="73">
        <v>11.153386888000002</v>
      </c>
      <c r="E22" s="73">
        <v>10.551945383</v>
      </c>
      <c r="F22" s="73">
        <v>11.471012275</v>
      </c>
      <c r="G22" s="73">
        <v>8.380392588000001</v>
      </c>
      <c r="H22" s="73">
        <v>8.66556172</v>
      </c>
      <c r="I22" s="73">
        <v>8.926513979</v>
      </c>
      <c r="J22" s="73">
        <v>10.309767176</v>
      </c>
      <c r="K22" s="73">
        <v>8.093659416000001</v>
      </c>
      <c r="L22" s="73">
        <v>8.942453251000002</v>
      </c>
      <c r="M22" s="73">
        <v>8.980604092</v>
      </c>
      <c r="N22" s="73">
        <v>8.01085556</v>
      </c>
      <c r="O22" s="73">
        <v>8.538067937</v>
      </c>
      <c r="P22" s="130">
        <f t="shared" si="1"/>
        <v>112.02422026500001</v>
      </c>
    </row>
    <row r="23" spans="1:16" ht="18" customHeight="1">
      <c r="A23" s="477"/>
      <c r="B23" s="479" t="s">
        <v>405</v>
      </c>
      <c r="C23" s="142" t="s">
        <v>406</v>
      </c>
      <c r="D23" s="136">
        <v>646.837</v>
      </c>
      <c r="E23" s="136">
        <v>583.564</v>
      </c>
      <c r="F23" s="136">
        <v>614.769</v>
      </c>
      <c r="G23" s="136">
        <v>613.409</v>
      </c>
      <c r="H23" s="136">
        <v>659.168</v>
      </c>
      <c r="I23" s="136">
        <v>655.13</v>
      </c>
      <c r="J23" s="136">
        <v>729.557</v>
      </c>
      <c r="K23" s="136">
        <v>708.135</v>
      </c>
      <c r="L23" s="136">
        <v>706.307</v>
      </c>
      <c r="M23" s="136">
        <v>750.106</v>
      </c>
      <c r="N23" s="136">
        <v>689.346</v>
      </c>
      <c r="O23" s="136">
        <v>684.289</v>
      </c>
      <c r="P23" s="137">
        <f t="shared" si="1"/>
        <v>8040.616999999999</v>
      </c>
    </row>
    <row r="24" spans="1:16" ht="18" customHeight="1" thickBot="1">
      <c r="A24" s="477"/>
      <c r="B24" s="479"/>
      <c r="C24" s="106" t="s">
        <v>407</v>
      </c>
      <c r="D24" s="139">
        <v>3035.029677379999</v>
      </c>
      <c r="E24" s="139">
        <v>2798.447288359999</v>
      </c>
      <c r="F24" s="139">
        <v>3014.2151537600002</v>
      </c>
      <c r="G24" s="139">
        <v>3280.6904948300003</v>
      </c>
      <c r="H24" s="139">
        <v>3360.85135394</v>
      </c>
      <c r="I24" s="139">
        <v>3877.3653755700007</v>
      </c>
      <c r="J24" s="139">
        <v>4160.24705154</v>
      </c>
      <c r="K24" s="139">
        <v>4176.83573764</v>
      </c>
      <c r="L24" s="139">
        <v>3969.3180186</v>
      </c>
      <c r="M24" s="139">
        <v>3829.685677440001</v>
      </c>
      <c r="N24" s="139">
        <v>3461.2581937200002</v>
      </c>
      <c r="O24" s="139">
        <v>3107.5295638</v>
      </c>
      <c r="P24" s="140">
        <f t="shared" si="1"/>
        <v>42071.47358658001</v>
      </c>
    </row>
    <row r="25" spans="1:16" ht="18" customHeight="1">
      <c r="A25" s="477"/>
      <c r="B25" s="479"/>
      <c r="C25" s="135" t="s">
        <v>408</v>
      </c>
      <c r="D25" s="141">
        <v>6.36</v>
      </c>
      <c r="E25" s="141">
        <v>5.839</v>
      </c>
      <c r="F25" s="141">
        <v>6.3149999999999995</v>
      </c>
      <c r="G25" s="141">
        <v>6.777</v>
      </c>
      <c r="H25" s="141">
        <v>7.394</v>
      </c>
      <c r="I25" s="141">
        <v>7.074</v>
      </c>
      <c r="J25" s="141">
        <v>7.419</v>
      </c>
      <c r="K25" s="141">
        <v>7.579</v>
      </c>
      <c r="L25" s="141">
        <v>7.423</v>
      </c>
      <c r="M25" s="141">
        <v>8.15</v>
      </c>
      <c r="N25" s="141">
        <v>7.915</v>
      </c>
      <c r="O25" s="141">
        <v>7.865</v>
      </c>
      <c r="P25" s="137">
        <f t="shared" si="1"/>
        <v>86.11</v>
      </c>
    </row>
    <row r="26" spans="1:16" ht="18" customHeight="1" thickBot="1">
      <c r="A26" s="477"/>
      <c r="B26" s="479"/>
      <c r="C26" s="138" t="s">
        <v>409</v>
      </c>
      <c r="D26" s="139">
        <v>69.90977687359202</v>
      </c>
      <c r="E26" s="139">
        <v>71.661954656944</v>
      </c>
      <c r="F26" s="139">
        <v>74.335878625384</v>
      </c>
      <c r="G26" s="139">
        <v>90.87999906306999</v>
      </c>
      <c r="H26" s="139">
        <v>99.30744099700803</v>
      </c>
      <c r="I26" s="139">
        <v>103.51251129142</v>
      </c>
      <c r="J26" s="139">
        <v>103.29101631962</v>
      </c>
      <c r="K26" s="139">
        <v>95.366342187924</v>
      </c>
      <c r="L26" s="139">
        <v>83.87321569165002</v>
      </c>
      <c r="M26" s="139">
        <v>94.13273977289701</v>
      </c>
      <c r="N26" s="139">
        <v>78.49085861972699</v>
      </c>
      <c r="O26" s="139">
        <v>74.19462311284002</v>
      </c>
      <c r="P26" s="140">
        <f t="shared" si="1"/>
        <v>1038.956357212076</v>
      </c>
    </row>
    <row r="27" spans="1:16" ht="18" customHeight="1">
      <c r="A27" s="477"/>
      <c r="B27" s="479"/>
      <c r="C27" s="142" t="s">
        <v>410</v>
      </c>
      <c r="D27" s="141">
        <v>0.206</v>
      </c>
      <c r="E27" s="141">
        <v>0.179</v>
      </c>
      <c r="F27" s="141">
        <v>0.148</v>
      </c>
      <c r="G27" s="141">
        <v>0.179</v>
      </c>
      <c r="H27" s="141">
        <v>0.219</v>
      </c>
      <c r="I27" s="141">
        <v>0.175</v>
      </c>
      <c r="J27" s="141">
        <v>0.173</v>
      </c>
      <c r="K27" s="141">
        <v>0.193</v>
      </c>
      <c r="L27" s="141">
        <v>0.205</v>
      </c>
      <c r="M27" s="141">
        <v>0.223</v>
      </c>
      <c r="N27" s="141">
        <v>0.234</v>
      </c>
      <c r="O27" s="141">
        <v>0.227</v>
      </c>
      <c r="P27" s="137">
        <f t="shared" si="1"/>
        <v>2.361</v>
      </c>
    </row>
    <row r="28" spans="1:16" ht="18" customHeight="1" thickBot="1">
      <c r="A28" s="478"/>
      <c r="B28" s="480"/>
      <c r="C28" s="106" t="s">
        <v>411</v>
      </c>
      <c r="D28" s="139">
        <v>4.3221538978559995</v>
      </c>
      <c r="E28" s="139">
        <v>2.8852875027719995</v>
      </c>
      <c r="F28" s="139">
        <v>2.03165749755</v>
      </c>
      <c r="G28" s="139">
        <v>3.4567256643450004</v>
      </c>
      <c r="H28" s="139">
        <v>6.7027439478040005</v>
      </c>
      <c r="I28" s="139">
        <v>3.9712885436399996</v>
      </c>
      <c r="J28" s="139">
        <v>2.896658235042</v>
      </c>
      <c r="K28" s="139">
        <v>3.2965647727050005</v>
      </c>
      <c r="L28" s="139">
        <v>2.8033513217099997</v>
      </c>
      <c r="M28" s="139">
        <v>3.1535314818839995</v>
      </c>
      <c r="N28" s="139">
        <v>2.58711026688</v>
      </c>
      <c r="O28" s="139">
        <v>2.702873623723</v>
      </c>
      <c r="P28" s="140">
        <f t="shared" si="1"/>
        <v>40.80994675591101</v>
      </c>
    </row>
  </sheetData>
  <sheetProtection/>
  <mergeCells count="4">
    <mergeCell ref="D5:P5"/>
    <mergeCell ref="B7:B22"/>
    <mergeCell ref="A7:A28"/>
    <mergeCell ref="B23:B28"/>
  </mergeCells>
  <printOptions horizontalCentered="1"/>
  <pageMargins left="0" right="0" top="0.5" bottom="0.5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P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5" customWidth="1"/>
    <col min="2" max="2" width="4.28125" style="5" customWidth="1"/>
    <col min="3" max="3" width="11.8515625" style="5" customWidth="1"/>
    <col min="4" max="4" width="28.8515625" style="56" customWidth="1"/>
    <col min="5" max="5" width="7.421875" style="43" bestFit="1" customWidth="1"/>
    <col min="6" max="6" width="7.7109375" style="43" bestFit="1" customWidth="1"/>
    <col min="7" max="7" width="8.00390625" style="43" bestFit="1" customWidth="1"/>
    <col min="8" max="10" width="7.7109375" style="43" bestFit="1" customWidth="1"/>
    <col min="11" max="11" width="7.421875" style="43" bestFit="1" customWidth="1"/>
    <col min="12" max="13" width="8.00390625" style="43" bestFit="1" customWidth="1"/>
    <col min="14" max="16" width="7.7109375" style="43" bestFit="1" customWidth="1"/>
    <col min="17" max="17" width="9.140625" style="43" customWidth="1"/>
    <col min="18" max="16384" width="9.140625" style="5" customWidth="1"/>
  </cols>
  <sheetData>
    <row r="1" ht="19.5" customHeight="1">
      <c r="A1" s="6" t="s">
        <v>412</v>
      </c>
    </row>
    <row r="2" ht="12.75">
      <c r="A2" s="52" t="s">
        <v>303</v>
      </c>
    </row>
    <row r="3" ht="6.75" customHeight="1" thickBot="1"/>
    <row r="4" spans="5:16" ht="13.5" customHeight="1" thickBot="1">
      <c r="E4" s="458">
        <v>2008</v>
      </c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</row>
    <row r="5" spans="5:16" ht="48" thickBot="1">
      <c r="E5" s="67" t="s">
        <v>304</v>
      </c>
      <c r="F5" s="67" t="s">
        <v>305</v>
      </c>
      <c r="G5" s="67" t="s">
        <v>306</v>
      </c>
      <c r="H5" s="67" t="s">
        <v>307</v>
      </c>
      <c r="I5" s="67" t="s">
        <v>308</v>
      </c>
      <c r="J5" s="67" t="s">
        <v>309</v>
      </c>
      <c r="K5" s="67" t="s">
        <v>310</v>
      </c>
      <c r="L5" s="67" t="s">
        <v>311</v>
      </c>
      <c r="M5" s="67" t="s">
        <v>312</v>
      </c>
      <c r="N5" s="67" t="s">
        <v>313</v>
      </c>
      <c r="O5" s="67" t="s">
        <v>314</v>
      </c>
      <c r="P5" s="67" t="s">
        <v>315</v>
      </c>
    </row>
    <row r="6" spans="1:16" ht="12.75" customHeight="1">
      <c r="A6" s="481" t="s">
        <v>413</v>
      </c>
      <c r="B6" s="482"/>
      <c r="C6" s="483"/>
      <c r="D6" s="157" t="s">
        <v>414</v>
      </c>
      <c r="E6" s="144">
        <v>1565</v>
      </c>
      <c r="F6" s="144">
        <v>2467</v>
      </c>
      <c r="G6" s="144">
        <v>1575</v>
      </c>
      <c r="H6" s="144">
        <v>910</v>
      </c>
      <c r="I6" s="144">
        <v>578</v>
      </c>
      <c r="J6" s="144">
        <v>2552</v>
      </c>
      <c r="K6" s="144">
        <v>2028</v>
      </c>
      <c r="L6" s="144">
        <v>1997</v>
      </c>
      <c r="M6" s="144">
        <v>1342</v>
      </c>
      <c r="N6" s="144">
        <v>1599</v>
      </c>
      <c r="O6" s="144">
        <v>1725</v>
      </c>
      <c r="P6" s="144">
        <v>1057</v>
      </c>
    </row>
    <row r="7" spans="1:16" ht="12.75" customHeight="1">
      <c r="A7" s="484"/>
      <c r="B7" s="485"/>
      <c r="C7" s="486"/>
      <c r="D7" s="160" t="s">
        <v>471</v>
      </c>
      <c r="E7" s="105">
        <v>1219</v>
      </c>
      <c r="F7" s="105">
        <v>1909</v>
      </c>
      <c r="G7" s="105">
        <v>1323</v>
      </c>
      <c r="H7" s="105">
        <v>253</v>
      </c>
      <c r="I7" s="105">
        <v>697</v>
      </c>
      <c r="J7" s="105">
        <v>1066</v>
      </c>
      <c r="K7" s="105">
        <v>1791</v>
      </c>
      <c r="L7" s="105">
        <v>945</v>
      </c>
      <c r="M7" s="105">
        <v>752</v>
      </c>
      <c r="N7" s="105">
        <v>472</v>
      </c>
      <c r="O7" s="105">
        <v>694</v>
      </c>
      <c r="P7" s="105">
        <v>883</v>
      </c>
    </row>
    <row r="8" spans="1:16" s="8" customFormat="1" ht="12.75" customHeight="1" thickBot="1">
      <c r="A8" s="487"/>
      <c r="B8" s="488"/>
      <c r="C8" s="489"/>
      <c r="D8" s="158" t="s">
        <v>418</v>
      </c>
      <c r="E8" s="107">
        <v>30599</v>
      </c>
      <c r="F8" s="107">
        <v>31157</v>
      </c>
      <c r="G8" s="107">
        <v>31409</v>
      </c>
      <c r="H8" s="107">
        <v>32066</v>
      </c>
      <c r="I8" s="107">
        <v>31947</v>
      </c>
      <c r="J8" s="107">
        <v>33433</v>
      </c>
      <c r="K8" s="107">
        <v>33670</v>
      </c>
      <c r="L8" s="107">
        <v>34722</v>
      </c>
      <c r="M8" s="107">
        <v>35312</v>
      </c>
      <c r="N8" s="107">
        <v>36439</v>
      </c>
      <c r="O8" s="107">
        <v>37470</v>
      </c>
      <c r="P8" s="107">
        <v>37644</v>
      </c>
    </row>
    <row r="9" spans="1:16" s="9" customFormat="1" ht="12.75" customHeight="1">
      <c r="A9" s="495" t="s">
        <v>417</v>
      </c>
      <c r="B9" s="498" t="s">
        <v>424</v>
      </c>
      <c r="C9" s="490" t="s">
        <v>419</v>
      </c>
      <c r="D9" s="159" t="s">
        <v>414</v>
      </c>
      <c r="E9" s="144">
        <v>15</v>
      </c>
      <c r="F9" s="144">
        <v>4</v>
      </c>
      <c r="G9" s="144">
        <v>1</v>
      </c>
      <c r="H9" s="144">
        <v>4</v>
      </c>
      <c r="I9" s="144">
        <v>1</v>
      </c>
      <c r="J9" s="144">
        <v>1</v>
      </c>
      <c r="K9" s="144">
        <v>1</v>
      </c>
      <c r="L9" s="144">
        <v>1</v>
      </c>
      <c r="M9" s="144">
        <v>1</v>
      </c>
      <c r="N9" s="144">
        <v>61</v>
      </c>
      <c r="O9" s="144">
        <v>39</v>
      </c>
      <c r="P9" s="144">
        <v>189</v>
      </c>
    </row>
    <row r="10" spans="1:16" s="9" customFormat="1" ht="12.75" customHeight="1">
      <c r="A10" s="496"/>
      <c r="B10" s="499"/>
      <c r="C10" s="491"/>
      <c r="D10" s="160" t="s">
        <v>471</v>
      </c>
      <c r="E10" s="105">
        <v>2</v>
      </c>
      <c r="F10" s="105">
        <v>6</v>
      </c>
      <c r="G10" s="105">
        <v>2</v>
      </c>
      <c r="H10" s="105">
        <v>14</v>
      </c>
      <c r="I10" s="105">
        <v>3</v>
      </c>
      <c r="J10" s="105">
        <v>1</v>
      </c>
      <c r="K10" s="105">
        <v>4</v>
      </c>
      <c r="L10" s="105">
        <v>1</v>
      </c>
      <c r="M10" s="105">
        <v>2</v>
      </c>
      <c r="N10" s="105">
        <v>1</v>
      </c>
      <c r="O10" s="105">
        <v>1</v>
      </c>
      <c r="P10" s="105">
        <v>1</v>
      </c>
    </row>
    <row r="11" spans="1:16" s="9" customFormat="1" ht="12.75" customHeight="1" thickBot="1">
      <c r="A11" s="496"/>
      <c r="B11" s="499"/>
      <c r="C11" s="492"/>
      <c r="D11" s="161" t="s">
        <v>418</v>
      </c>
      <c r="E11" s="107">
        <v>22</v>
      </c>
      <c r="F11" s="107">
        <v>20</v>
      </c>
      <c r="G11" s="107">
        <v>19</v>
      </c>
      <c r="H11" s="107">
        <v>9</v>
      </c>
      <c r="I11" s="107">
        <v>7</v>
      </c>
      <c r="J11" s="107">
        <v>7</v>
      </c>
      <c r="K11" s="107">
        <v>4</v>
      </c>
      <c r="L11" s="107">
        <v>4</v>
      </c>
      <c r="M11" s="107">
        <v>3</v>
      </c>
      <c r="N11" s="107">
        <v>63</v>
      </c>
      <c r="O11" s="107">
        <v>101</v>
      </c>
      <c r="P11" s="107">
        <v>289</v>
      </c>
    </row>
    <row r="12" spans="1:16" s="9" customFormat="1" ht="12.75" customHeight="1">
      <c r="A12" s="496"/>
      <c r="B12" s="499"/>
      <c r="C12" s="490" t="s">
        <v>420</v>
      </c>
      <c r="D12" s="159" t="s">
        <v>414</v>
      </c>
      <c r="E12" s="144">
        <v>47</v>
      </c>
      <c r="F12" s="144">
        <v>505</v>
      </c>
      <c r="G12" s="144">
        <v>40</v>
      </c>
      <c r="H12" s="144">
        <v>31</v>
      </c>
      <c r="I12" s="144">
        <v>35</v>
      </c>
      <c r="J12" s="144">
        <v>212</v>
      </c>
      <c r="K12" s="144">
        <v>13</v>
      </c>
      <c r="L12" s="144">
        <v>58</v>
      </c>
      <c r="M12" s="144">
        <v>136</v>
      </c>
      <c r="N12" s="144">
        <v>208</v>
      </c>
      <c r="O12" s="144">
        <v>587</v>
      </c>
      <c r="P12" s="144">
        <v>270</v>
      </c>
    </row>
    <row r="13" spans="1:16" s="9" customFormat="1" ht="12.75" customHeight="1">
      <c r="A13" s="496"/>
      <c r="B13" s="499"/>
      <c r="C13" s="491"/>
      <c r="D13" s="160" t="s">
        <v>471</v>
      </c>
      <c r="E13" s="105">
        <v>702</v>
      </c>
      <c r="F13" s="105">
        <v>436</v>
      </c>
      <c r="G13" s="105">
        <v>38</v>
      </c>
      <c r="H13" s="105">
        <v>167</v>
      </c>
      <c r="I13" s="105">
        <v>106</v>
      </c>
      <c r="J13" s="105">
        <v>324</v>
      </c>
      <c r="K13" s="105">
        <v>48</v>
      </c>
      <c r="L13" s="105">
        <v>506</v>
      </c>
      <c r="M13" s="105">
        <v>43</v>
      </c>
      <c r="N13" s="105">
        <v>53</v>
      </c>
      <c r="O13" s="105">
        <v>16</v>
      </c>
      <c r="P13" s="105">
        <v>211</v>
      </c>
    </row>
    <row r="14" spans="1:16" s="9" customFormat="1" ht="12.75" customHeight="1" thickBot="1">
      <c r="A14" s="496"/>
      <c r="B14" s="499"/>
      <c r="C14" s="492"/>
      <c r="D14" s="161" t="s">
        <v>418</v>
      </c>
      <c r="E14" s="107">
        <v>1117</v>
      </c>
      <c r="F14" s="107">
        <v>1186</v>
      </c>
      <c r="G14" s="107">
        <v>1188</v>
      </c>
      <c r="H14" s="107">
        <v>1052</v>
      </c>
      <c r="I14" s="107">
        <v>981</v>
      </c>
      <c r="J14" s="107">
        <v>869</v>
      </c>
      <c r="K14" s="107">
        <v>834</v>
      </c>
      <c r="L14" s="107">
        <v>386</v>
      </c>
      <c r="M14" s="107">
        <v>479</v>
      </c>
      <c r="N14" s="107">
        <v>634</v>
      </c>
      <c r="O14" s="107">
        <v>1205</v>
      </c>
      <c r="P14" s="107">
        <v>1264</v>
      </c>
    </row>
    <row r="15" spans="1:16" s="9" customFormat="1" ht="12.75" customHeight="1">
      <c r="A15" s="496"/>
      <c r="B15" s="499"/>
      <c r="C15" s="490" t="s">
        <v>421</v>
      </c>
      <c r="D15" s="159" t="s">
        <v>414</v>
      </c>
      <c r="E15" s="144">
        <v>72</v>
      </c>
      <c r="F15" s="144">
        <v>22</v>
      </c>
      <c r="G15" s="144">
        <v>16</v>
      </c>
      <c r="H15" s="144">
        <v>14</v>
      </c>
      <c r="I15" s="144">
        <v>13</v>
      </c>
      <c r="J15" s="144">
        <v>66</v>
      </c>
      <c r="K15" s="144">
        <v>68</v>
      </c>
      <c r="L15" s="144">
        <v>47</v>
      </c>
      <c r="M15" s="144">
        <v>168</v>
      </c>
      <c r="N15" s="144">
        <v>67</v>
      </c>
      <c r="O15" s="144">
        <v>130</v>
      </c>
      <c r="P15" s="144">
        <v>28</v>
      </c>
    </row>
    <row r="16" spans="1:16" s="9" customFormat="1" ht="12.75" customHeight="1">
      <c r="A16" s="496"/>
      <c r="B16" s="499"/>
      <c r="C16" s="491"/>
      <c r="D16" s="160" t="s">
        <v>471</v>
      </c>
      <c r="E16" s="105">
        <v>61</v>
      </c>
      <c r="F16" s="105">
        <v>119</v>
      </c>
      <c r="G16" s="105">
        <v>70</v>
      </c>
      <c r="H16" s="105">
        <v>7</v>
      </c>
      <c r="I16" s="105">
        <v>7</v>
      </c>
      <c r="J16" s="105">
        <v>54</v>
      </c>
      <c r="K16" s="105">
        <v>85</v>
      </c>
      <c r="L16" s="105">
        <v>7</v>
      </c>
      <c r="M16" s="105">
        <v>8</v>
      </c>
      <c r="N16" s="105">
        <v>56</v>
      </c>
      <c r="O16" s="105">
        <v>60</v>
      </c>
      <c r="P16" s="105">
        <v>16</v>
      </c>
    </row>
    <row r="17" spans="1:16" s="9" customFormat="1" ht="12.75" customHeight="1" thickBot="1">
      <c r="A17" s="496"/>
      <c r="B17" s="499"/>
      <c r="C17" s="492"/>
      <c r="D17" s="161" t="s">
        <v>418</v>
      </c>
      <c r="E17" s="107">
        <v>557</v>
      </c>
      <c r="F17" s="107">
        <v>460</v>
      </c>
      <c r="G17" s="107">
        <v>406</v>
      </c>
      <c r="H17" s="107">
        <v>413</v>
      </c>
      <c r="I17" s="107">
        <v>419</v>
      </c>
      <c r="J17" s="107">
        <v>431</v>
      </c>
      <c r="K17" s="107">
        <v>414</v>
      </c>
      <c r="L17" s="107">
        <v>454</v>
      </c>
      <c r="M17" s="107">
        <v>614</v>
      </c>
      <c r="N17" s="107">
        <v>625</v>
      </c>
      <c r="O17" s="107">
        <v>695</v>
      </c>
      <c r="P17" s="107">
        <v>707</v>
      </c>
    </row>
    <row r="18" spans="1:16" s="9" customFormat="1" ht="12.75" customHeight="1">
      <c r="A18" s="496"/>
      <c r="B18" s="499"/>
      <c r="C18" s="490" t="s">
        <v>422</v>
      </c>
      <c r="D18" s="159" t="s">
        <v>414</v>
      </c>
      <c r="E18" s="144">
        <v>68</v>
      </c>
      <c r="F18" s="144">
        <v>16</v>
      </c>
      <c r="G18" s="144">
        <v>10</v>
      </c>
      <c r="H18" s="144">
        <v>61</v>
      </c>
      <c r="I18" s="144">
        <v>134</v>
      </c>
      <c r="J18" s="144">
        <v>264</v>
      </c>
      <c r="K18" s="144">
        <v>61</v>
      </c>
      <c r="L18" s="144">
        <v>16</v>
      </c>
      <c r="M18" s="144">
        <v>303</v>
      </c>
      <c r="N18" s="144">
        <v>26</v>
      </c>
      <c r="O18" s="144">
        <v>72</v>
      </c>
      <c r="P18" s="144">
        <v>19</v>
      </c>
    </row>
    <row r="19" spans="1:16" s="9" customFormat="1" ht="12.75" customHeight="1">
      <c r="A19" s="496"/>
      <c r="B19" s="499"/>
      <c r="C19" s="491"/>
      <c r="D19" s="160" t="s">
        <v>471</v>
      </c>
      <c r="E19" s="105">
        <v>56</v>
      </c>
      <c r="F19" s="105">
        <v>27</v>
      </c>
      <c r="G19" s="105">
        <v>31</v>
      </c>
      <c r="H19" s="105">
        <v>42</v>
      </c>
      <c r="I19" s="105">
        <v>56</v>
      </c>
      <c r="J19" s="105">
        <v>101</v>
      </c>
      <c r="K19" s="105">
        <v>55</v>
      </c>
      <c r="L19" s="105">
        <v>9</v>
      </c>
      <c r="M19" s="105">
        <v>465</v>
      </c>
      <c r="N19" s="105">
        <v>44</v>
      </c>
      <c r="O19" s="105">
        <v>13</v>
      </c>
      <c r="P19" s="105">
        <v>26</v>
      </c>
    </row>
    <row r="20" spans="1:16" s="9" customFormat="1" ht="12.75" customHeight="1" thickBot="1">
      <c r="A20" s="496"/>
      <c r="B20" s="499"/>
      <c r="C20" s="492"/>
      <c r="D20" s="161" t="s">
        <v>418</v>
      </c>
      <c r="E20" s="107">
        <v>1938.8000000000002</v>
      </c>
      <c r="F20" s="107">
        <v>1927.8000000000002</v>
      </c>
      <c r="G20" s="107">
        <v>1906.8000000000002</v>
      </c>
      <c r="H20" s="107">
        <v>1925.8000000000002</v>
      </c>
      <c r="I20" s="107">
        <v>2003.8000000000002</v>
      </c>
      <c r="J20" s="107">
        <v>2166.8</v>
      </c>
      <c r="K20" s="107">
        <v>2172.8</v>
      </c>
      <c r="L20" s="107">
        <v>2179.8</v>
      </c>
      <c r="M20" s="107">
        <v>2017.8000000000002</v>
      </c>
      <c r="N20" s="107">
        <v>1999.8000000000002</v>
      </c>
      <c r="O20" s="107">
        <v>2058.8</v>
      </c>
      <c r="P20" s="107">
        <v>2051.8</v>
      </c>
    </row>
    <row r="21" spans="1:16" s="9" customFormat="1" ht="12.75" customHeight="1">
      <c r="A21" s="496"/>
      <c r="B21" s="499"/>
      <c r="C21" s="490" t="s">
        <v>423</v>
      </c>
      <c r="D21" s="159" t="s">
        <v>414</v>
      </c>
      <c r="E21" s="144">
        <v>1363</v>
      </c>
      <c r="F21" s="144">
        <v>1920</v>
      </c>
      <c r="G21" s="144">
        <v>1508</v>
      </c>
      <c r="H21" s="144">
        <v>800</v>
      </c>
      <c r="I21" s="144">
        <v>395</v>
      </c>
      <c r="J21" s="144">
        <v>2009</v>
      </c>
      <c r="K21" s="144">
        <v>1885</v>
      </c>
      <c r="L21" s="144">
        <v>1875</v>
      </c>
      <c r="M21" s="144">
        <v>734</v>
      </c>
      <c r="N21" s="144">
        <v>1237</v>
      </c>
      <c r="O21" s="144">
        <v>897</v>
      </c>
      <c r="P21" s="144">
        <v>551</v>
      </c>
    </row>
    <row r="22" spans="1:16" s="9" customFormat="1" ht="12.75" customHeight="1">
      <c r="A22" s="496"/>
      <c r="B22" s="499"/>
      <c r="C22" s="491"/>
      <c r="D22" s="160" t="s">
        <v>471</v>
      </c>
      <c r="E22" s="105">
        <v>398</v>
      </c>
      <c r="F22" s="105">
        <v>1321</v>
      </c>
      <c r="G22" s="105">
        <v>566</v>
      </c>
      <c r="H22" s="105">
        <v>23</v>
      </c>
      <c r="I22" s="105">
        <v>525</v>
      </c>
      <c r="J22" s="105">
        <v>586</v>
      </c>
      <c r="K22" s="105">
        <v>949</v>
      </c>
      <c r="L22" s="105">
        <v>422</v>
      </c>
      <c r="M22" s="105">
        <v>234</v>
      </c>
      <c r="N22" s="105">
        <v>318</v>
      </c>
      <c r="O22" s="105">
        <v>604</v>
      </c>
      <c r="P22" s="105">
        <v>629</v>
      </c>
    </row>
    <row r="23" spans="1:16" s="9" customFormat="1" ht="12.75" customHeight="1" thickBot="1">
      <c r="A23" s="496"/>
      <c r="B23" s="499"/>
      <c r="C23" s="492"/>
      <c r="D23" s="161" t="s">
        <v>418</v>
      </c>
      <c r="E23" s="107">
        <v>22648.8</v>
      </c>
      <c r="F23" s="107">
        <v>23247.8</v>
      </c>
      <c r="G23" s="107">
        <v>24189.8</v>
      </c>
      <c r="H23" s="107">
        <v>24966.8</v>
      </c>
      <c r="I23" s="107">
        <v>24836.8</v>
      </c>
      <c r="J23" s="107">
        <v>26259.8</v>
      </c>
      <c r="K23" s="107">
        <v>27195.8</v>
      </c>
      <c r="L23" s="107">
        <v>28648.8</v>
      </c>
      <c r="M23" s="107">
        <v>29148.8</v>
      </c>
      <c r="N23" s="107">
        <v>30067.8</v>
      </c>
      <c r="O23" s="107">
        <v>30360.8</v>
      </c>
      <c r="P23" s="107">
        <v>30282.8</v>
      </c>
    </row>
    <row r="24" spans="1:16" s="9" customFormat="1" ht="12.75" customHeight="1">
      <c r="A24" s="496"/>
      <c r="B24" s="499"/>
      <c r="C24" s="490" t="s">
        <v>425</v>
      </c>
      <c r="D24" s="159" t="s">
        <v>414</v>
      </c>
      <c r="E24" s="144">
        <v>0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44">
        <v>0</v>
      </c>
      <c r="M24" s="144">
        <v>0</v>
      </c>
      <c r="N24" s="144">
        <v>0</v>
      </c>
      <c r="O24" s="144">
        <v>0</v>
      </c>
      <c r="P24" s="144">
        <v>0</v>
      </c>
    </row>
    <row r="25" spans="1:16" s="9" customFormat="1" ht="12.75" customHeight="1">
      <c r="A25" s="496"/>
      <c r="B25" s="499"/>
      <c r="C25" s="491"/>
      <c r="D25" s="160" t="s">
        <v>471</v>
      </c>
      <c r="E25" s="105">
        <v>0</v>
      </c>
      <c r="F25" s="105">
        <v>0</v>
      </c>
      <c r="G25" s="105">
        <v>616</v>
      </c>
      <c r="H25" s="105">
        <v>0</v>
      </c>
      <c r="I25" s="105">
        <v>0</v>
      </c>
      <c r="J25" s="105">
        <v>0</v>
      </c>
      <c r="K25" s="105">
        <v>650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</row>
    <row r="26" spans="1:16" s="9" customFormat="1" ht="12.75" customHeight="1" thickBot="1">
      <c r="A26" s="496"/>
      <c r="B26" s="500"/>
      <c r="C26" s="492"/>
      <c r="D26" s="161" t="s">
        <v>418</v>
      </c>
      <c r="E26" s="107">
        <v>4315</v>
      </c>
      <c r="F26" s="107">
        <v>4315</v>
      </c>
      <c r="G26" s="107">
        <v>3699</v>
      </c>
      <c r="H26" s="107">
        <v>3699</v>
      </c>
      <c r="I26" s="107">
        <v>3699</v>
      </c>
      <c r="J26" s="107">
        <v>3699</v>
      </c>
      <c r="K26" s="107">
        <v>3049</v>
      </c>
      <c r="L26" s="107">
        <v>3049</v>
      </c>
      <c r="M26" s="107">
        <v>3049</v>
      </c>
      <c r="N26" s="107">
        <v>3049</v>
      </c>
      <c r="O26" s="107">
        <v>3049</v>
      </c>
      <c r="P26" s="107">
        <v>3049</v>
      </c>
    </row>
    <row r="27" spans="1:16" s="9" customFormat="1" ht="12.75" customHeight="1">
      <c r="A27" s="496"/>
      <c r="B27" s="495" t="s">
        <v>416</v>
      </c>
      <c r="C27" s="501" t="s">
        <v>426</v>
      </c>
      <c r="D27" s="159" t="s">
        <v>430</v>
      </c>
      <c r="E27" s="144">
        <v>16765</v>
      </c>
      <c r="F27" s="144">
        <v>17243</v>
      </c>
      <c r="G27" s="144">
        <v>17480</v>
      </c>
      <c r="H27" s="144">
        <v>18212</v>
      </c>
      <c r="I27" s="144">
        <v>18274</v>
      </c>
      <c r="J27" s="144">
        <v>19599</v>
      </c>
      <c r="K27" s="144">
        <v>20438</v>
      </c>
      <c r="L27" s="144">
        <v>21424</v>
      </c>
      <c r="M27" s="144">
        <v>21661</v>
      </c>
      <c r="N27" s="144">
        <v>22622</v>
      </c>
      <c r="O27" s="144">
        <v>23506</v>
      </c>
      <c r="P27" s="144">
        <v>23781</v>
      </c>
    </row>
    <row r="28" spans="1:16" s="9" customFormat="1" ht="12.75" customHeight="1" thickBot="1">
      <c r="A28" s="496"/>
      <c r="B28" s="496"/>
      <c r="C28" s="502"/>
      <c r="D28" s="161" t="s">
        <v>431</v>
      </c>
      <c r="E28" s="145">
        <v>54.78937220170593</v>
      </c>
      <c r="F28" s="145">
        <v>55.34229868087428</v>
      </c>
      <c r="G28" s="145">
        <v>55.6528383584323</v>
      </c>
      <c r="H28" s="145">
        <v>56.795359570885054</v>
      </c>
      <c r="I28" s="145">
        <v>57.20098913826024</v>
      </c>
      <c r="J28" s="145">
        <v>58.62172105404839</v>
      </c>
      <c r="K28" s="145">
        <v>60.700920700920705</v>
      </c>
      <c r="L28" s="145">
        <v>61.7015148896953</v>
      </c>
      <c r="M28" s="145">
        <v>61.341753511554145</v>
      </c>
      <c r="N28" s="145">
        <v>62.08183539614149</v>
      </c>
      <c r="O28" s="145">
        <v>62.73285294902588</v>
      </c>
      <c r="P28" s="145">
        <v>63.173414089894806</v>
      </c>
    </row>
    <row r="29" spans="1:16" s="9" customFormat="1" ht="12.75" customHeight="1">
      <c r="A29" s="496"/>
      <c r="B29" s="496"/>
      <c r="C29" s="501" t="s">
        <v>427</v>
      </c>
      <c r="D29" s="159" t="s">
        <v>430</v>
      </c>
      <c r="E29" s="144">
        <v>8456</v>
      </c>
      <c r="F29" s="144">
        <v>8457</v>
      </c>
      <c r="G29" s="144">
        <v>8461</v>
      </c>
      <c r="H29" s="144">
        <v>8461</v>
      </c>
      <c r="I29" s="144">
        <v>8454</v>
      </c>
      <c r="J29" s="144">
        <v>8444</v>
      </c>
      <c r="K29" s="144">
        <v>7794</v>
      </c>
      <c r="L29" s="144">
        <v>7794</v>
      </c>
      <c r="M29" s="144">
        <v>8066</v>
      </c>
      <c r="N29" s="144">
        <v>8179</v>
      </c>
      <c r="O29" s="144">
        <v>8179</v>
      </c>
      <c r="P29" s="144">
        <v>8180</v>
      </c>
    </row>
    <row r="30" spans="1:16" s="9" customFormat="1" ht="12.75" customHeight="1" thickBot="1">
      <c r="A30" s="496"/>
      <c r="B30" s="496"/>
      <c r="C30" s="502"/>
      <c r="D30" s="161" t="s">
        <v>431</v>
      </c>
      <c r="E30" s="145">
        <v>27.634890029085916</v>
      </c>
      <c r="F30" s="145">
        <v>27.143178098019703</v>
      </c>
      <c r="G30" s="145">
        <v>26.938138750039798</v>
      </c>
      <c r="H30" s="145">
        <v>26.38620345537329</v>
      </c>
      <c r="I30" s="145">
        <v>26.46257864588224</v>
      </c>
      <c r="J30" s="145">
        <v>25.256483115484702</v>
      </c>
      <c r="K30" s="145">
        <v>23.148203148203148</v>
      </c>
      <c r="L30" s="145">
        <v>22.446863659927423</v>
      </c>
      <c r="M30" s="145">
        <v>22.842093339374717</v>
      </c>
      <c r="N30" s="145">
        <v>22.445731222042316</v>
      </c>
      <c r="O30" s="145">
        <v>21.82812917000267</v>
      </c>
      <c r="P30" s="145">
        <v>21.729890553607483</v>
      </c>
    </row>
    <row r="31" spans="1:16" s="9" customFormat="1" ht="12.75" customHeight="1">
      <c r="A31" s="496"/>
      <c r="B31" s="496"/>
      <c r="C31" s="501" t="s">
        <v>428</v>
      </c>
      <c r="D31" s="159" t="s">
        <v>430</v>
      </c>
      <c r="E31" s="144">
        <v>66</v>
      </c>
      <c r="F31" s="144">
        <v>72</v>
      </c>
      <c r="G31" s="144">
        <v>73</v>
      </c>
      <c r="H31" s="144">
        <v>75</v>
      </c>
      <c r="I31" s="144">
        <v>74</v>
      </c>
      <c r="J31" s="144">
        <v>79</v>
      </c>
      <c r="K31" s="144">
        <v>84</v>
      </c>
      <c r="L31" s="144">
        <v>94</v>
      </c>
      <c r="M31" s="144">
        <v>95</v>
      </c>
      <c r="N31" s="144">
        <v>95</v>
      </c>
      <c r="O31" s="144">
        <v>102</v>
      </c>
      <c r="P31" s="144">
        <v>101</v>
      </c>
    </row>
    <row r="32" spans="1:16" s="9" customFormat="1" ht="12.75" customHeight="1" thickBot="1">
      <c r="A32" s="496"/>
      <c r="B32" s="496"/>
      <c r="C32" s="502"/>
      <c r="D32" s="161" t="s">
        <v>431</v>
      </c>
      <c r="E32" s="145">
        <v>0.21569332331121935</v>
      </c>
      <c r="F32" s="145">
        <v>0.23108771704592868</v>
      </c>
      <c r="G32" s="145">
        <v>0.23241745996370466</v>
      </c>
      <c r="H32" s="145">
        <v>0.23389259651967817</v>
      </c>
      <c r="I32" s="145">
        <v>0.23163364322158578</v>
      </c>
      <c r="J32" s="145">
        <v>0.2362934824873628</v>
      </c>
      <c r="K32" s="145">
        <v>0.2494802494802495</v>
      </c>
      <c r="L32" s="145">
        <v>0.2707217326190888</v>
      </c>
      <c r="M32" s="145">
        <v>0.269030357951971</v>
      </c>
      <c r="N32" s="145">
        <v>0.260709679189879</v>
      </c>
      <c r="O32" s="145">
        <v>0.2722177742193755</v>
      </c>
      <c r="P32" s="145">
        <v>0.26830304962278184</v>
      </c>
    </row>
    <row r="33" spans="1:16" s="9" customFormat="1" ht="12.75" customHeight="1">
      <c r="A33" s="496"/>
      <c r="B33" s="496"/>
      <c r="C33" s="493" t="s">
        <v>429</v>
      </c>
      <c r="D33" s="159" t="s">
        <v>430</v>
      </c>
      <c r="E33" s="144">
        <v>4697</v>
      </c>
      <c r="F33" s="144">
        <v>4770</v>
      </c>
      <c r="G33" s="144">
        <v>4774</v>
      </c>
      <c r="H33" s="144">
        <v>4675</v>
      </c>
      <c r="I33" s="144">
        <v>4496</v>
      </c>
      <c r="J33" s="144">
        <v>4611</v>
      </c>
      <c r="K33" s="144">
        <v>4621</v>
      </c>
      <c r="L33" s="144">
        <v>4659</v>
      </c>
      <c r="M33" s="144">
        <v>4738</v>
      </c>
      <c r="N33" s="144">
        <v>4806</v>
      </c>
      <c r="O33" s="144">
        <v>4929</v>
      </c>
      <c r="P33" s="144">
        <v>4852</v>
      </c>
    </row>
    <row r="34" spans="1:16" s="9" customFormat="1" ht="12.75" customHeight="1" thickBot="1">
      <c r="A34" s="496"/>
      <c r="B34" s="496"/>
      <c r="C34" s="494"/>
      <c r="D34" s="162" t="s">
        <v>431</v>
      </c>
      <c r="E34" s="146">
        <v>15.35017484231511</v>
      </c>
      <c r="F34" s="146">
        <v>15.309561254292776</v>
      </c>
      <c r="G34" s="146">
        <v>15.199465121462003</v>
      </c>
      <c r="H34" s="146">
        <v>14.57930518305994</v>
      </c>
      <c r="I34" s="146">
        <v>14.073308917895263</v>
      </c>
      <c r="J34" s="146">
        <v>13.791762629737086</v>
      </c>
      <c r="K34" s="146">
        <v>13.724383724383724</v>
      </c>
      <c r="L34" s="146">
        <v>13.4180058752376</v>
      </c>
      <c r="M34" s="146">
        <v>13.41753511554146</v>
      </c>
      <c r="N34" s="146">
        <v>13.18916545459535</v>
      </c>
      <c r="O34" s="146">
        <v>13.154523618895118</v>
      </c>
      <c r="P34" s="146">
        <v>12.889172245244925</v>
      </c>
    </row>
    <row r="35" spans="1:16" s="9" customFormat="1" ht="12.75" customHeight="1">
      <c r="A35" s="496"/>
      <c r="B35" s="496"/>
      <c r="C35" s="501" t="s">
        <v>415</v>
      </c>
      <c r="D35" s="159" t="s">
        <v>430</v>
      </c>
      <c r="E35" s="144">
        <v>615</v>
      </c>
      <c r="F35" s="144">
        <v>615</v>
      </c>
      <c r="G35" s="144">
        <v>621</v>
      </c>
      <c r="H35" s="144">
        <v>643</v>
      </c>
      <c r="I35" s="144">
        <v>649</v>
      </c>
      <c r="J35" s="144">
        <v>700</v>
      </c>
      <c r="K35" s="144">
        <v>733</v>
      </c>
      <c r="L35" s="144">
        <v>751</v>
      </c>
      <c r="M35" s="144">
        <v>752</v>
      </c>
      <c r="N35" s="144">
        <v>737</v>
      </c>
      <c r="O35" s="144">
        <v>754</v>
      </c>
      <c r="P35" s="144">
        <v>730</v>
      </c>
    </row>
    <row r="36" spans="1:16" s="9" customFormat="1" ht="12.75" customHeight="1" thickBot="1">
      <c r="A36" s="496"/>
      <c r="B36" s="496"/>
      <c r="C36" s="502"/>
      <c r="D36" s="161" t="s">
        <v>431</v>
      </c>
      <c r="E36" s="145">
        <v>2.009869603581816</v>
      </c>
      <c r="F36" s="145">
        <v>1.9738742497673076</v>
      </c>
      <c r="G36" s="145">
        <v>1.9771403101022</v>
      </c>
      <c r="H36" s="145">
        <v>2.005239194162041</v>
      </c>
      <c r="I36" s="145">
        <v>2.0314896547406645</v>
      </c>
      <c r="J36" s="145">
        <v>2.093739718242455</v>
      </c>
      <c r="K36" s="145">
        <v>2.1770121770121773</v>
      </c>
      <c r="L36" s="145">
        <v>2.1628938425205924</v>
      </c>
      <c r="M36" s="145">
        <v>2.1295876755777075</v>
      </c>
      <c r="N36" s="145">
        <v>2.022558248030956</v>
      </c>
      <c r="O36" s="145">
        <v>2.0122764878569526</v>
      </c>
      <c r="P36" s="145">
        <v>1.9392200616300075</v>
      </c>
    </row>
    <row r="37" spans="1:16" s="9" customFormat="1" ht="12.75" customHeight="1" thickBot="1">
      <c r="A37" s="497"/>
      <c r="B37" s="497"/>
      <c r="C37" s="503" t="s">
        <v>389</v>
      </c>
      <c r="D37" s="504"/>
      <c r="E37" s="113">
        <v>30599</v>
      </c>
      <c r="F37" s="113">
        <v>31157</v>
      </c>
      <c r="G37" s="113">
        <v>31409</v>
      </c>
      <c r="H37" s="113">
        <v>32066</v>
      </c>
      <c r="I37" s="113">
        <v>31947</v>
      </c>
      <c r="J37" s="113">
        <v>33433</v>
      </c>
      <c r="K37" s="113">
        <v>33670</v>
      </c>
      <c r="L37" s="113">
        <v>34722</v>
      </c>
      <c r="M37" s="113">
        <v>35312</v>
      </c>
      <c r="N37" s="113">
        <v>36439</v>
      </c>
      <c r="O37" s="113">
        <v>37470</v>
      </c>
      <c r="P37" s="113">
        <v>37644</v>
      </c>
    </row>
    <row r="74" spans="4:15" ht="12.75">
      <c r="D74" s="163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</row>
  </sheetData>
  <sheetProtection/>
  <mergeCells count="17">
    <mergeCell ref="B27:B37"/>
    <mergeCell ref="C37:D37"/>
    <mergeCell ref="C35:C36"/>
    <mergeCell ref="C12:C14"/>
    <mergeCell ref="C15:C17"/>
    <mergeCell ref="C18:C20"/>
    <mergeCell ref="C21:C23"/>
    <mergeCell ref="E4:P4"/>
    <mergeCell ref="A6:C8"/>
    <mergeCell ref="C9:C11"/>
    <mergeCell ref="C33:C34"/>
    <mergeCell ref="A9:A37"/>
    <mergeCell ref="B9:B26"/>
    <mergeCell ref="C27:C28"/>
    <mergeCell ref="C29:C30"/>
    <mergeCell ref="C24:C26"/>
    <mergeCell ref="C31:C32"/>
  </mergeCells>
  <printOptions horizontalCentered="1"/>
  <pageMargins left="0" right="0" top="0.5" bottom="0.5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O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8.28125" style="0" customWidth="1"/>
    <col min="3" max="14" width="8.7109375" style="0" customWidth="1"/>
  </cols>
  <sheetData>
    <row r="1" spans="1:15" s="5" customFormat="1" ht="19.5" customHeight="1">
      <c r="A1" s="164" t="s">
        <v>464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s="5" customFormat="1" ht="12.75" customHeight="1">
      <c r="A2" s="52" t="s">
        <v>303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3:15" s="5" customFormat="1" ht="6.75" customHeight="1" thickBot="1"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3:15" s="5" customFormat="1" ht="13.5" thickBot="1">
      <c r="C4" s="458">
        <v>2008</v>
      </c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3"/>
    </row>
    <row r="5" spans="3:15" s="5" customFormat="1" ht="48" thickBot="1">
      <c r="C5" s="67" t="s">
        <v>304</v>
      </c>
      <c r="D5" s="67" t="s">
        <v>305</v>
      </c>
      <c r="E5" s="67" t="s">
        <v>306</v>
      </c>
      <c r="F5" s="67" t="s">
        <v>307</v>
      </c>
      <c r="G5" s="67" t="s">
        <v>308</v>
      </c>
      <c r="H5" s="67" t="s">
        <v>309</v>
      </c>
      <c r="I5" s="67" t="s">
        <v>310</v>
      </c>
      <c r="J5" s="67" t="s">
        <v>311</v>
      </c>
      <c r="K5" s="67" t="s">
        <v>312</v>
      </c>
      <c r="L5" s="67" t="s">
        <v>313</v>
      </c>
      <c r="M5" s="67" t="s">
        <v>314</v>
      </c>
      <c r="N5" s="67" t="s">
        <v>315</v>
      </c>
      <c r="O5" s="43"/>
    </row>
    <row r="6" spans="1:15" s="5" customFormat="1" ht="12.75" customHeight="1">
      <c r="A6" s="512" t="s">
        <v>419</v>
      </c>
      <c r="B6" s="94" t="s">
        <v>435</v>
      </c>
      <c r="C6" s="149">
        <v>5.15</v>
      </c>
      <c r="D6" s="149">
        <v>5.15</v>
      </c>
      <c r="E6" s="149">
        <v>5.15</v>
      </c>
      <c r="F6" s="149">
        <v>5.15</v>
      </c>
      <c r="G6" s="149">
        <v>5.15</v>
      </c>
      <c r="H6" s="149">
        <v>5.15</v>
      </c>
      <c r="I6" s="149">
        <v>5.15</v>
      </c>
      <c r="J6" s="149">
        <v>5.15</v>
      </c>
      <c r="K6" s="149">
        <v>5.15</v>
      </c>
      <c r="L6" s="149">
        <v>5.15</v>
      </c>
      <c r="M6" s="149">
        <v>5.11</v>
      </c>
      <c r="N6" s="149">
        <v>5.04</v>
      </c>
      <c r="O6" s="43"/>
    </row>
    <row r="7" spans="1:15" s="5" customFormat="1" ht="13.5" customHeight="1" thickBot="1">
      <c r="A7" s="513"/>
      <c r="B7" s="98" t="s">
        <v>436</v>
      </c>
      <c r="C7" s="150">
        <v>5.22</v>
      </c>
      <c r="D7" s="150">
        <v>5.22</v>
      </c>
      <c r="E7" s="150">
        <v>5.22</v>
      </c>
      <c r="F7" s="150">
        <v>5.22</v>
      </c>
      <c r="G7" s="150">
        <v>5.22</v>
      </c>
      <c r="H7" s="150">
        <v>5.22</v>
      </c>
      <c r="I7" s="150">
        <v>5.22</v>
      </c>
      <c r="J7" s="150">
        <v>5.22</v>
      </c>
      <c r="K7" s="150">
        <v>5.22</v>
      </c>
      <c r="L7" s="150">
        <v>5.22</v>
      </c>
      <c r="M7" s="150">
        <v>5.18</v>
      </c>
      <c r="N7" s="150">
        <v>5.1</v>
      </c>
      <c r="O7" s="43"/>
    </row>
    <row r="8" spans="1:15" s="5" customFormat="1" ht="12.75" customHeight="1">
      <c r="A8" s="508" t="s">
        <v>420</v>
      </c>
      <c r="B8" s="94" t="s">
        <v>435</v>
      </c>
      <c r="C8" s="149">
        <v>6.99</v>
      </c>
      <c r="D8" s="149">
        <v>6.99</v>
      </c>
      <c r="E8" s="149">
        <v>6.99</v>
      </c>
      <c r="F8" s="149">
        <v>6.99</v>
      </c>
      <c r="G8" s="149">
        <v>6.99</v>
      </c>
      <c r="H8" s="149">
        <v>6.98</v>
      </c>
      <c r="I8" s="149">
        <v>6.97</v>
      </c>
      <c r="J8" s="149">
        <v>6.97</v>
      </c>
      <c r="K8" s="149">
        <v>6.97</v>
      </c>
      <c r="L8" s="149">
        <v>6.97</v>
      </c>
      <c r="M8" s="149">
        <v>6.91</v>
      </c>
      <c r="N8" s="149">
        <v>6.86</v>
      </c>
      <c r="O8" s="43"/>
    </row>
    <row r="9" spans="1:15" s="5" customFormat="1" ht="13.5" customHeight="1" thickBot="1">
      <c r="A9" s="509"/>
      <c r="B9" s="98" t="s">
        <v>436</v>
      </c>
      <c r="C9" s="150">
        <v>7.24</v>
      </c>
      <c r="D9" s="150">
        <v>7.24</v>
      </c>
      <c r="E9" s="150">
        <v>7.24</v>
      </c>
      <c r="F9" s="150">
        <v>7.24</v>
      </c>
      <c r="G9" s="150">
        <v>7.24</v>
      </c>
      <c r="H9" s="150">
        <v>7.23</v>
      </c>
      <c r="I9" s="150">
        <v>7.22</v>
      </c>
      <c r="J9" s="150">
        <v>7.22</v>
      </c>
      <c r="K9" s="150">
        <v>7.22</v>
      </c>
      <c r="L9" s="150">
        <v>7.22</v>
      </c>
      <c r="M9" s="150">
        <v>7.16</v>
      </c>
      <c r="N9" s="150">
        <v>7.1</v>
      </c>
      <c r="O9" s="43"/>
    </row>
    <row r="10" spans="1:15" s="5" customFormat="1" ht="12.75" customHeight="1">
      <c r="A10" s="508" t="s">
        <v>421</v>
      </c>
      <c r="B10" s="94" t="s">
        <v>435</v>
      </c>
      <c r="C10" s="149">
        <v>7.19</v>
      </c>
      <c r="D10" s="149">
        <v>7.19</v>
      </c>
      <c r="E10" s="149">
        <v>7.19</v>
      </c>
      <c r="F10" s="149">
        <v>7.19</v>
      </c>
      <c r="G10" s="149">
        <v>7.19</v>
      </c>
      <c r="H10" s="149">
        <v>7.19</v>
      </c>
      <c r="I10" s="149">
        <v>7.18</v>
      </c>
      <c r="J10" s="149">
        <v>7.18</v>
      </c>
      <c r="K10" s="149">
        <v>7.18</v>
      </c>
      <c r="L10" s="149">
        <v>7.18</v>
      </c>
      <c r="M10" s="149">
        <v>7.12</v>
      </c>
      <c r="N10" s="149">
        <v>7.05</v>
      </c>
      <c r="O10" s="43"/>
    </row>
    <row r="11" spans="1:15" s="5" customFormat="1" ht="13.5" customHeight="1" thickBot="1">
      <c r="A11" s="509"/>
      <c r="B11" s="98" t="s">
        <v>436</v>
      </c>
      <c r="C11" s="150">
        <v>7.75</v>
      </c>
      <c r="D11" s="150">
        <v>7.75</v>
      </c>
      <c r="E11" s="150">
        <v>7.75</v>
      </c>
      <c r="F11" s="150">
        <v>7.75</v>
      </c>
      <c r="G11" s="150">
        <v>7.75</v>
      </c>
      <c r="H11" s="150">
        <v>7.75</v>
      </c>
      <c r="I11" s="150">
        <v>7.73</v>
      </c>
      <c r="J11" s="150">
        <v>7.73</v>
      </c>
      <c r="K11" s="150">
        <v>7.73</v>
      </c>
      <c r="L11" s="150">
        <v>7.73</v>
      </c>
      <c r="M11" s="150">
        <v>7.66</v>
      </c>
      <c r="N11" s="150">
        <v>7.58</v>
      </c>
      <c r="O11" s="43"/>
    </row>
    <row r="12" spans="1:15" s="5" customFormat="1" ht="13.5" thickBot="1">
      <c r="A12" s="147" t="s">
        <v>432</v>
      </c>
      <c r="B12" s="165" t="s">
        <v>437</v>
      </c>
      <c r="C12" s="151">
        <v>8.5</v>
      </c>
      <c r="D12" s="151">
        <v>8.5</v>
      </c>
      <c r="E12" s="151">
        <v>8.5</v>
      </c>
      <c r="F12" s="151">
        <v>8.5</v>
      </c>
      <c r="G12" s="151">
        <v>8.5</v>
      </c>
      <c r="H12" s="151">
        <v>8.46</v>
      </c>
      <c r="I12" s="151">
        <v>8.4</v>
      </c>
      <c r="J12" s="151">
        <v>8.4</v>
      </c>
      <c r="K12" s="151">
        <v>8.4</v>
      </c>
      <c r="L12" s="151">
        <v>8.4</v>
      </c>
      <c r="M12" s="151">
        <v>8.38</v>
      </c>
      <c r="N12" s="151">
        <v>8.26</v>
      </c>
      <c r="O12" s="43"/>
    </row>
    <row r="13" spans="1:15" s="5" customFormat="1" ht="13.5" thickBot="1">
      <c r="A13" s="147" t="s">
        <v>433</v>
      </c>
      <c r="B13" s="165" t="s">
        <v>437</v>
      </c>
      <c r="C13" s="151">
        <v>9.32</v>
      </c>
      <c r="D13" s="151">
        <v>9.32</v>
      </c>
      <c r="E13" s="151">
        <v>9.32</v>
      </c>
      <c r="F13" s="151">
        <v>9.32</v>
      </c>
      <c r="G13" s="151">
        <v>9.32</v>
      </c>
      <c r="H13" s="151">
        <v>9.26</v>
      </c>
      <c r="I13" s="151">
        <v>9.12</v>
      </c>
      <c r="J13" s="151">
        <v>9.06</v>
      </c>
      <c r="K13" s="151">
        <v>9.06</v>
      </c>
      <c r="L13" s="151">
        <v>9.06</v>
      </c>
      <c r="M13" s="151">
        <v>9.04</v>
      </c>
      <c r="N13" s="151">
        <v>9</v>
      </c>
      <c r="O13" s="43"/>
    </row>
    <row r="14" spans="1:15" s="5" customFormat="1" ht="13.5" thickBot="1">
      <c r="A14" s="510" t="s">
        <v>434</v>
      </c>
      <c r="B14" s="511"/>
      <c r="C14" s="151">
        <v>12</v>
      </c>
      <c r="D14" s="151">
        <v>12</v>
      </c>
      <c r="E14" s="151">
        <v>12</v>
      </c>
      <c r="F14" s="151">
        <v>12</v>
      </c>
      <c r="G14" s="151">
        <v>12</v>
      </c>
      <c r="H14" s="151">
        <v>12</v>
      </c>
      <c r="I14" s="151">
        <v>12</v>
      </c>
      <c r="J14" s="151">
        <v>12</v>
      </c>
      <c r="K14" s="151">
        <v>12</v>
      </c>
      <c r="L14" s="151">
        <v>12</v>
      </c>
      <c r="M14" s="151">
        <v>12</v>
      </c>
      <c r="N14" s="151">
        <v>12</v>
      </c>
      <c r="O14" s="43"/>
    </row>
    <row r="15" spans="1:15" s="5" customFormat="1" ht="12.75">
      <c r="A15" s="37"/>
      <c r="B15" s="24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</row>
    <row r="16" spans="1:15" s="5" customFormat="1" ht="18.75">
      <c r="A16" s="6" t="s">
        <v>465</v>
      </c>
      <c r="B16" s="6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</row>
    <row r="17" spans="1:15" s="5" customFormat="1" ht="12.75">
      <c r="A17" s="52" t="s">
        <v>303</v>
      </c>
      <c r="B17" s="12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</row>
    <row r="18" spans="1:15" s="5" customFormat="1" ht="12.75">
      <c r="A18" s="5" t="s">
        <v>393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</row>
    <row r="19" spans="3:15" s="5" customFormat="1" ht="6.75" customHeight="1" thickBot="1"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</row>
    <row r="20" spans="3:15" s="5" customFormat="1" ht="13.5" thickBot="1">
      <c r="C20" s="458">
        <v>2008</v>
      </c>
      <c r="D20" s="458"/>
      <c r="E20" s="458"/>
      <c r="F20" s="458"/>
      <c r="G20" s="458"/>
      <c r="H20" s="458"/>
      <c r="I20" s="458"/>
      <c r="J20" s="458"/>
      <c r="K20" s="458"/>
      <c r="L20" s="458"/>
      <c r="M20" s="458"/>
      <c r="N20" s="458"/>
      <c r="O20" s="43"/>
    </row>
    <row r="21" spans="3:15" s="5" customFormat="1" ht="48" thickBot="1">
      <c r="C21" s="67" t="s">
        <v>304</v>
      </c>
      <c r="D21" s="67" t="s">
        <v>305</v>
      </c>
      <c r="E21" s="67" t="s">
        <v>306</v>
      </c>
      <c r="F21" s="67" t="s">
        <v>307</v>
      </c>
      <c r="G21" s="67" t="s">
        <v>308</v>
      </c>
      <c r="H21" s="67" t="s">
        <v>309</v>
      </c>
      <c r="I21" s="67" t="s">
        <v>310</v>
      </c>
      <c r="J21" s="67" t="s">
        <v>311</v>
      </c>
      <c r="K21" s="67" t="s">
        <v>312</v>
      </c>
      <c r="L21" s="67" t="s">
        <v>313</v>
      </c>
      <c r="M21" s="67" t="s">
        <v>314</v>
      </c>
      <c r="N21" s="67" t="s">
        <v>315</v>
      </c>
      <c r="O21" s="43"/>
    </row>
    <row r="22" spans="1:15" s="5" customFormat="1" ht="12.75">
      <c r="A22" s="505" t="s">
        <v>438</v>
      </c>
      <c r="B22" s="166" t="s">
        <v>439</v>
      </c>
      <c r="C22" s="152">
        <v>1507.5</v>
      </c>
      <c r="D22" s="152">
        <v>1507.5</v>
      </c>
      <c r="E22" s="152">
        <v>1507.5</v>
      </c>
      <c r="F22" s="152">
        <v>1507.5</v>
      </c>
      <c r="G22" s="152">
        <v>1507.5</v>
      </c>
      <c r="H22" s="152">
        <v>1507.5</v>
      </c>
      <c r="I22" s="152">
        <v>1507.5</v>
      </c>
      <c r="J22" s="152">
        <v>1507.5</v>
      </c>
      <c r="K22" s="152">
        <v>1507.5</v>
      </c>
      <c r="L22" s="152">
        <v>1507.5</v>
      </c>
      <c r="M22" s="152">
        <v>1507.5</v>
      </c>
      <c r="N22" s="152">
        <v>1507.5</v>
      </c>
      <c r="O22" s="43"/>
    </row>
    <row r="23" spans="1:15" s="5" customFormat="1" ht="12.75">
      <c r="A23" s="506"/>
      <c r="B23" s="167" t="s">
        <v>440</v>
      </c>
      <c r="C23" s="153">
        <v>2218.16</v>
      </c>
      <c r="D23" s="153">
        <v>2224.04</v>
      </c>
      <c r="E23" s="153">
        <v>2343.22</v>
      </c>
      <c r="F23" s="153">
        <v>2378.55</v>
      </c>
      <c r="G23" s="153">
        <v>2346.17</v>
      </c>
      <c r="H23" s="153">
        <v>2344.82</v>
      </c>
      <c r="I23" s="153">
        <v>2377.32</v>
      </c>
      <c r="J23" s="153">
        <v>2259.46</v>
      </c>
      <c r="K23" s="153">
        <v>2165.65</v>
      </c>
      <c r="L23" s="153">
        <v>1997.96</v>
      </c>
      <c r="M23" s="153">
        <v>1922.29</v>
      </c>
      <c r="N23" s="153">
        <v>2040.24</v>
      </c>
      <c r="O23" s="43"/>
    </row>
    <row r="24" spans="1:15" s="5" customFormat="1" ht="12.75" customHeight="1">
      <c r="A24" s="506"/>
      <c r="B24" s="167" t="s">
        <v>441</v>
      </c>
      <c r="C24" s="153">
        <v>2969.6</v>
      </c>
      <c r="D24" s="153">
        <v>2960.38</v>
      </c>
      <c r="E24" s="153">
        <v>3022.47</v>
      </c>
      <c r="F24" s="153">
        <v>2985.58</v>
      </c>
      <c r="G24" s="153">
        <v>2962.34</v>
      </c>
      <c r="H24" s="153">
        <v>2960.66</v>
      </c>
      <c r="I24" s="153">
        <v>2996.42</v>
      </c>
      <c r="J24" s="153">
        <v>2849.7</v>
      </c>
      <c r="K24" s="153">
        <v>2709.03</v>
      </c>
      <c r="L24" s="153">
        <v>2538.87</v>
      </c>
      <c r="M24" s="153">
        <v>2315.52</v>
      </c>
      <c r="N24" s="153">
        <v>2247.84</v>
      </c>
      <c r="O24" s="43"/>
    </row>
    <row r="25" spans="1:15" s="5" customFormat="1" ht="12.75" customHeight="1">
      <c r="A25" s="506"/>
      <c r="B25" s="167" t="s">
        <v>442</v>
      </c>
      <c r="C25" s="153">
        <v>1492.88</v>
      </c>
      <c r="D25" s="153">
        <v>1507.98</v>
      </c>
      <c r="E25" s="153">
        <v>1512.75</v>
      </c>
      <c r="F25" s="153">
        <v>1488.79</v>
      </c>
      <c r="G25" s="153">
        <v>1509.71</v>
      </c>
      <c r="H25" s="153">
        <v>1483.99</v>
      </c>
      <c r="I25" s="153">
        <v>1487.77</v>
      </c>
      <c r="J25" s="153">
        <v>1432.98</v>
      </c>
      <c r="K25" s="153">
        <v>1423.63</v>
      </c>
      <c r="L25" s="153">
        <v>1237.26</v>
      </c>
      <c r="M25" s="154">
        <v>1239.34</v>
      </c>
      <c r="N25" s="153">
        <v>1223.71</v>
      </c>
      <c r="O25" s="43"/>
    </row>
    <row r="26" spans="1:15" s="5" customFormat="1" ht="12.75" customHeight="1">
      <c r="A26" s="506"/>
      <c r="B26" s="167" t="s">
        <v>443</v>
      </c>
      <c r="C26" s="153">
        <v>14.01</v>
      </c>
      <c r="D26" s="153">
        <v>14.07</v>
      </c>
      <c r="E26" s="153">
        <v>14.96</v>
      </c>
      <c r="F26" s="153">
        <v>14.74</v>
      </c>
      <c r="G26" s="153">
        <v>14.44</v>
      </c>
      <c r="H26" s="153">
        <v>14.1</v>
      </c>
      <c r="I26" s="153">
        <v>14.1</v>
      </c>
      <c r="J26" s="153">
        <v>13.8</v>
      </c>
      <c r="K26" s="153">
        <v>14.12</v>
      </c>
      <c r="L26" s="153">
        <v>15.12</v>
      </c>
      <c r="M26" s="153">
        <v>15.55</v>
      </c>
      <c r="N26" s="153">
        <v>16.59</v>
      </c>
      <c r="O26" s="43"/>
    </row>
    <row r="27" spans="1:15" s="5" customFormat="1" ht="12.75" customHeight="1">
      <c r="A27" s="506"/>
      <c r="B27" s="167" t="s">
        <v>444</v>
      </c>
      <c r="C27" s="153">
        <v>1370.31</v>
      </c>
      <c r="D27" s="153">
        <v>1382.4</v>
      </c>
      <c r="E27" s="153">
        <v>1491.23</v>
      </c>
      <c r="F27" s="153">
        <v>1492.55</v>
      </c>
      <c r="G27" s="153">
        <v>1443.87</v>
      </c>
      <c r="H27" s="153">
        <v>1452.49</v>
      </c>
      <c r="I27" s="153">
        <v>1467.81</v>
      </c>
      <c r="J27" s="153">
        <v>1393.36</v>
      </c>
      <c r="K27" s="153">
        <v>1357.83</v>
      </c>
      <c r="L27" s="153">
        <v>1319.23</v>
      </c>
      <c r="M27" s="153">
        <v>1267.87</v>
      </c>
      <c r="N27" s="153">
        <v>1325.59</v>
      </c>
      <c r="O27" s="43"/>
    </row>
    <row r="28" spans="1:15" s="5" customFormat="1" ht="12.75">
      <c r="A28" s="506"/>
      <c r="B28" s="167" t="s">
        <v>445</v>
      </c>
      <c r="C28" s="153">
        <v>401.98</v>
      </c>
      <c r="D28" s="153">
        <v>402.05</v>
      </c>
      <c r="E28" s="153">
        <v>402.07</v>
      </c>
      <c r="F28" s="153">
        <v>401.94</v>
      </c>
      <c r="G28" s="153">
        <v>401.95</v>
      </c>
      <c r="H28" s="153">
        <v>401.99</v>
      </c>
      <c r="I28" s="153">
        <v>402.01</v>
      </c>
      <c r="J28" s="153">
        <v>401.96</v>
      </c>
      <c r="K28" s="153">
        <v>401.76</v>
      </c>
      <c r="L28" s="153">
        <v>401.08</v>
      </c>
      <c r="M28" s="153">
        <v>401.79</v>
      </c>
      <c r="N28" s="153">
        <v>401.78</v>
      </c>
      <c r="O28" s="43"/>
    </row>
    <row r="29" spans="1:15" s="5" customFormat="1" ht="12.75" customHeight="1">
      <c r="A29" s="506"/>
      <c r="B29" s="167" t="s">
        <v>446</v>
      </c>
      <c r="C29" s="153">
        <v>273.53</v>
      </c>
      <c r="D29" s="153">
        <v>273.6</v>
      </c>
      <c r="E29" s="153">
        <v>275.6</v>
      </c>
      <c r="F29" s="153">
        <v>277.83</v>
      </c>
      <c r="G29" s="153">
        <v>281.38</v>
      </c>
      <c r="H29" s="153">
        <v>281.82</v>
      </c>
      <c r="I29" s="153">
        <v>283.37</v>
      </c>
      <c r="J29" s="153">
        <v>282.45</v>
      </c>
      <c r="K29" s="153">
        <v>277.27</v>
      </c>
      <c r="L29" s="153">
        <v>271.39</v>
      </c>
      <c r="M29" s="153">
        <v>272.41</v>
      </c>
      <c r="N29" s="153">
        <v>273.04</v>
      </c>
      <c r="O29" s="43"/>
    </row>
    <row r="30" spans="1:15" s="5" customFormat="1" ht="12.75" customHeight="1">
      <c r="A30" s="506"/>
      <c r="B30" s="167" t="s">
        <v>447</v>
      </c>
      <c r="C30" s="153">
        <v>410.46</v>
      </c>
      <c r="D30" s="153">
        <v>410.5</v>
      </c>
      <c r="E30" s="153">
        <v>410.51</v>
      </c>
      <c r="F30" s="153">
        <v>410.45</v>
      </c>
      <c r="G30" s="153">
        <v>410.44</v>
      </c>
      <c r="H30" s="153">
        <v>410.43</v>
      </c>
      <c r="I30" s="153">
        <v>410.43</v>
      </c>
      <c r="J30" s="153">
        <v>410.42</v>
      </c>
      <c r="K30" s="153">
        <v>410.41</v>
      </c>
      <c r="L30" s="153">
        <v>410.4</v>
      </c>
      <c r="M30" s="153">
        <v>410.41</v>
      </c>
      <c r="N30" s="153">
        <v>410.42</v>
      </c>
      <c r="O30" s="43"/>
    </row>
    <row r="31" spans="1:15" s="5" customFormat="1" ht="12.75" customHeight="1">
      <c r="A31" s="506"/>
      <c r="B31" s="167" t="s">
        <v>448</v>
      </c>
      <c r="C31" s="153">
        <v>2387.17</v>
      </c>
      <c r="D31" s="153">
        <v>2389.95</v>
      </c>
      <c r="E31" s="153">
        <v>2457.49</v>
      </c>
      <c r="F31" s="153">
        <v>2469.52</v>
      </c>
      <c r="G31" s="153">
        <v>2448.68</v>
      </c>
      <c r="H31" s="153">
        <v>2439.82</v>
      </c>
      <c r="I31" s="153">
        <v>2459.09</v>
      </c>
      <c r="J31" s="153">
        <v>2393.58</v>
      </c>
      <c r="K31" s="153">
        <v>2346.37</v>
      </c>
      <c r="L31" s="153">
        <v>2283.22</v>
      </c>
      <c r="M31" s="153">
        <v>2235.77</v>
      </c>
      <c r="N31" s="153">
        <v>2293.52</v>
      </c>
      <c r="O31" s="43"/>
    </row>
    <row r="32" spans="1:15" s="5" customFormat="1" ht="12.75">
      <c r="A32" s="506"/>
      <c r="B32" s="167" t="s">
        <v>319</v>
      </c>
      <c r="C32" s="155">
        <v>1340110.07</v>
      </c>
      <c r="D32" s="155">
        <v>1395081.95</v>
      </c>
      <c r="E32" s="155">
        <v>1469565.44</v>
      </c>
      <c r="F32" s="155">
        <v>1379177.83</v>
      </c>
      <c r="G32" s="155">
        <v>1342681.26</v>
      </c>
      <c r="H32" s="155">
        <v>1341222.75</v>
      </c>
      <c r="I32" s="155">
        <v>1414617.44</v>
      </c>
      <c r="J32" s="155">
        <v>1270279.8</v>
      </c>
      <c r="K32" s="155">
        <v>1240295.62</v>
      </c>
      <c r="L32" s="155">
        <v>1215482.89</v>
      </c>
      <c r="M32" s="155">
        <v>1144448.77</v>
      </c>
      <c r="N32" s="155">
        <v>1241639.07</v>
      </c>
      <c r="O32" s="43"/>
    </row>
    <row r="33" spans="1:15" s="5" customFormat="1" ht="13.5" thickBot="1">
      <c r="A33" s="507"/>
      <c r="B33" s="168" t="s">
        <v>449</v>
      </c>
      <c r="C33" s="156">
        <v>24083.03</v>
      </c>
      <c r="D33" s="156">
        <v>26531.25</v>
      </c>
      <c r="E33" s="156">
        <v>29600.6</v>
      </c>
      <c r="F33" s="156">
        <v>26533.13</v>
      </c>
      <c r="G33" s="156">
        <v>25803.5</v>
      </c>
      <c r="H33" s="156">
        <v>25630.73</v>
      </c>
      <c r="I33" s="156">
        <v>27162.75</v>
      </c>
      <c r="J33" s="156">
        <v>22206.61</v>
      </c>
      <c r="K33" s="156">
        <v>18616.91</v>
      </c>
      <c r="L33" s="156">
        <v>15532.28</v>
      </c>
      <c r="M33" s="156">
        <v>14938.57</v>
      </c>
      <c r="N33" s="156">
        <v>15594.65</v>
      </c>
      <c r="O33" s="43"/>
    </row>
  </sheetData>
  <sheetProtection/>
  <mergeCells count="7">
    <mergeCell ref="A22:A33"/>
    <mergeCell ref="C4:N4"/>
    <mergeCell ref="A10:A11"/>
    <mergeCell ref="A14:B14"/>
    <mergeCell ref="C20:N20"/>
    <mergeCell ref="A6:A7"/>
    <mergeCell ref="A8:A9"/>
  </mergeCells>
  <printOptions horizontalCentered="1"/>
  <pageMargins left="0" right="0" top="0.5" bottom="0.5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N26"/>
  <sheetViews>
    <sheetView zoomScalePageLayoutView="0" workbookViewId="0" topLeftCell="A1">
      <selection activeCell="B4" sqref="B4:M5"/>
    </sheetView>
  </sheetViews>
  <sheetFormatPr defaultColWidth="9.140625" defaultRowHeight="12.75"/>
  <cols>
    <col min="1" max="1" width="34.57421875" style="5" customWidth="1"/>
    <col min="2" max="13" width="8.28125" style="86" customWidth="1"/>
    <col min="14" max="14" width="9.140625" style="86" customWidth="1"/>
    <col min="15" max="16384" width="9.140625" style="5" customWidth="1"/>
  </cols>
  <sheetData>
    <row r="1" spans="1:14" ht="19.5" customHeight="1">
      <c r="A1" s="514" t="s">
        <v>32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36"/>
    </row>
    <row r="2" ht="12.75">
      <c r="A2" s="52" t="s">
        <v>303</v>
      </c>
    </row>
    <row r="3" ht="6.75" customHeight="1" thickBot="1"/>
    <row r="4" spans="2:13" ht="13.5" customHeight="1" thickBot="1">
      <c r="B4" s="458">
        <v>2008</v>
      </c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</row>
    <row r="5" spans="2:13" ht="48" thickBot="1">
      <c r="B5" s="67" t="s">
        <v>304</v>
      </c>
      <c r="C5" s="67" t="s">
        <v>305</v>
      </c>
      <c r="D5" s="67" t="s">
        <v>306</v>
      </c>
      <c r="E5" s="67" t="s">
        <v>307</v>
      </c>
      <c r="F5" s="67" t="s">
        <v>308</v>
      </c>
      <c r="G5" s="67" t="s">
        <v>309</v>
      </c>
      <c r="H5" s="67" t="s">
        <v>310</v>
      </c>
      <c r="I5" s="67" t="s">
        <v>311</v>
      </c>
      <c r="J5" s="67" t="s">
        <v>312</v>
      </c>
      <c r="K5" s="67" t="s">
        <v>313</v>
      </c>
      <c r="L5" s="67" t="s">
        <v>314</v>
      </c>
      <c r="M5" s="67" t="s">
        <v>315</v>
      </c>
    </row>
    <row r="6" spans="1:13" ht="24.75" customHeight="1" thickBot="1">
      <c r="A6" s="148" t="s">
        <v>21</v>
      </c>
      <c r="B6" s="111">
        <f>SUM(B7:B8)</f>
        <v>87986.804</v>
      </c>
      <c r="C6" s="111">
        <f aca="true" t="shared" si="0" ref="C6:M6">SUM(C7:C8)</f>
        <v>89190.949</v>
      </c>
      <c r="D6" s="111">
        <f t="shared" si="0"/>
        <v>89809.772</v>
      </c>
      <c r="E6" s="111">
        <f t="shared" si="0"/>
        <v>91394.84599999999</v>
      </c>
      <c r="F6" s="111">
        <f t="shared" si="0"/>
        <v>91279.655</v>
      </c>
      <c r="G6" s="111">
        <f t="shared" si="0"/>
        <v>92810.957</v>
      </c>
      <c r="H6" s="111">
        <f t="shared" si="0"/>
        <v>95306.97099999999</v>
      </c>
      <c r="I6" s="111">
        <f t="shared" si="0"/>
        <v>96557.688</v>
      </c>
      <c r="J6" s="111">
        <f t="shared" si="0"/>
        <v>96795.81199999999</v>
      </c>
      <c r="K6" s="111">
        <f t="shared" si="0"/>
        <v>96652.235</v>
      </c>
      <c r="L6" s="111">
        <f t="shared" si="0"/>
        <v>97775.649</v>
      </c>
      <c r="M6" s="111">
        <f t="shared" si="0"/>
        <v>99907.848</v>
      </c>
    </row>
    <row r="7" spans="1:13" ht="24.75" customHeight="1">
      <c r="A7" s="170" t="s">
        <v>22</v>
      </c>
      <c r="B7" s="109">
        <v>22712.174</v>
      </c>
      <c r="C7" s="109">
        <v>23184.109</v>
      </c>
      <c r="D7" s="109">
        <v>23528.722</v>
      </c>
      <c r="E7" s="109">
        <v>24503.316</v>
      </c>
      <c r="F7" s="109">
        <v>25319.535</v>
      </c>
      <c r="G7" s="109">
        <v>26666.207</v>
      </c>
      <c r="H7" s="109">
        <v>28068.661</v>
      </c>
      <c r="I7" s="109">
        <v>29476.988</v>
      </c>
      <c r="J7" s="109">
        <v>30558.522</v>
      </c>
      <c r="K7" s="109">
        <v>32037.515</v>
      </c>
      <c r="L7" s="109">
        <v>33268.249</v>
      </c>
      <c r="M7" s="109">
        <v>34309.108</v>
      </c>
    </row>
    <row r="8" spans="1:13" s="8" customFormat="1" ht="24.75" customHeight="1" thickBot="1">
      <c r="A8" s="158" t="s">
        <v>23</v>
      </c>
      <c r="B8" s="107">
        <v>65274.63</v>
      </c>
      <c r="C8" s="107">
        <v>66006.84</v>
      </c>
      <c r="D8" s="107">
        <v>66281.05</v>
      </c>
      <c r="E8" s="107">
        <v>66891.53</v>
      </c>
      <c r="F8" s="107">
        <v>65960.12</v>
      </c>
      <c r="G8" s="107">
        <v>66144.75</v>
      </c>
      <c r="H8" s="107">
        <v>67238.31</v>
      </c>
      <c r="I8" s="107">
        <v>67080.7</v>
      </c>
      <c r="J8" s="107">
        <v>66237.29</v>
      </c>
      <c r="K8" s="107">
        <v>64614.72</v>
      </c>
      <c r="L8" s="107">
        <v>64507.4</v>
      </c>
      <c r="M8" s="107">
        <v>65598.74</v>
      </c>
    </row>
    <row r="9" spans="1:13" s="9" customFormat="1" ht="24.75" customHeight="1" thickBot="1">
      <c r="A9" s="148" t="s">
        <v>24</v>
      </c>
      <c r="B9" s="113">
        <f>SUM(B10:B11)</f>
        <v>14644.74</v>
      </c>
      <c r="C9" s="113">
        <f aca="true" t="shared" si="1" ref="C9:M9">SUM(C10:C11)</f>
        <v>15096.163</v>
      </c>
      <c r="D9" s="113">
        <f t="shared" si="1"/>
        <v>14338.065999999999</v>
      </c>
      <c r="E9" s="113">
        <f t="shared" si="1"/>
        <v>14320.187</v>
      </c>
      <c r="F9" s="113">
        <f t="shared" si="1"/>
        <v>15071.375</v>
      </c>
      <c r="G9" s="113">
        <f t="shared" si="1"/>
        <v>15863.071</v>
      </c>
      <c r="H9" s="113">
        <f t="shared" si="1"/>
        <v>16540.925</v>
      </c>
      <c r="I9" s="113">
        <f t="shared" si="1"/>
        <v>16508.772</v>
      </c>
      <c r="J9" s="113">
        <f t="shared" si="1"/>
        <v>16462.928</v>
      </c>
      <c r="K9" s="113">
        <f t="shared" si="1"/>
        <v>16101.963</v>
      </c>
      <c r="L9" s="113">
        <f t="shared" si="1"/>
        <v>16187.641</v>
      </c>
      <c r="M9" s="113">
        <f t="shared" si="1"/>
        <v>17344.692</v>
      </c>
    </row>
    <row r="10" spans="1:13" s="9" customFormat="1" ht="24.75" customHeight="1">
      <c r="A10" s="170" t="s">
        <v>25</v>
      </c>
      <c r="B10" s="109">
        <v>715.55</v>
      </c>
      <c r="C10" s="109">
        <v>736.923</v>
      </c>
      <c r="D10" s="109">
        <v>740.006</v>
      </c>
      <c r="E10" s="109">
        <v>768.967</v>
      </c>
      <c r="F10" s="109">
        <v>829.905</v>
      </c>
      <c r="G10" s="109">
        <v>901.941</v>
      </c>
      <c r="H10" s="109">
        <v>993.415</v>
      </c>
      <c r="I10" s="109">
        <v>1123.322</v>
      </c>
      <c r="J10" s="109">
        <v>1183.478</v>
      </c>
      <c r="K10" s="109">
        <v>1222.073</v>
      </c>
      <c r="L10" s="109">
        <v>1273.551</v>
      </c>
      <c r="M10" s="109">
        <v>1366.972</v>
      </c>
    </row>
    <row r="11" spans="1:13" s="9" customFormat="1" ht="24.75" customHeight="1" thickBot="1">
      <c r="A11" s="158" t="s">
        <v>26</v>
      </c>
      <c r="B11" s="107">
        <v>13929.19</v>
      </c>
      <c r="C11" s="107">
        <v>14359.24</v>
      </c>
      <c r="D11" s="107">
        <v>13598.06</v>
      </c>
      <c r="E11" s="107">
        <v>13551.22</v>
      </c>
      <c r="F11" s="107">
        <v>14241.47</v>
      </c>
      <c r="G11" s="107">
        <v>14961.13</v>
      </c>
      <c r="H11" s="107">
        <v>15547.51</v>
      </c>
      <c r="I11" s="107">
        <v>15385.45</v>
      </c>
      <c r="J11" s="107">
        <v>15279.45</v>
      </c>
      <c r="K11" s="107">
        <v>14879.89</v>
      </c>
      <c r="L11" s="107">
        <v>14914.09</v>
      </c>
      <c r="M11" s="107">
        <v>15977.72</v>
      </c>
    </row>
    <row r="12" spans="1:13" s="9" customFormat="1" ht="24.75" customHeight="1" thickBot="1">
      <c r="A12" s="143" t="s">
        <v>27</v>
      </c>
      <c r="B12" s="113">
        <f>B7+B10</f>
        <v>23427.724</v>
      </c>
      <c r="C12" s="113">
        <f aca="true" t="shared" si="2" ref="C12:M13">C7+C10</f>
        <v>23921.032</v>
      </c>
      <c r="D12" s="113">
        <f t="shared" si="2"/>
        <v>24268.728000000003</v>
      </c>
      <c r="E12" s="113">
        <f t="shared" si="2"/>
        <v>25272.283</v>
      </c>
      <c r="F12" s="113">
        <f t="shared" si="2"/>
        <v>26149.44</v>
      </c>
      <c r="G12" s="113">
        <f t="shared" si="2"/>
        <v>27568.147999999997</v>
      </c>
      <c r="H12" s="113">
        <f t="shared" si="2"/>
        <v>29062.076</v>
      </c>
      <c r="I12" s="113">
        <f t="shared" si="2"/>
        <v>30600.31</v>
      </c>
      <c r="J12" s="113">
        <f t="shared" si="2"/>
        <v>31742</v>
      </c>
      <c r="K12" s="113">
        <f t="shared" si="2"/>
        <v>33259.587999999996</v>
      </c>
      <c r="L12" s="113">
        <f t="shared" si="2"/>
        <v>34541.8</v>
      </c>
      <c r="M12" s="113">
        <f t="shared" si="2"/>
        <v>35676.08</v>
      </c>
    </row>
    <row r="13" spans="1:13" s="9" customFormat="1" ht="24.75" customHeight="1" thickBot="1">
      <c r="A13" s="143" t="s">
        <v>28</v>
      </c>
      <c r="B13" s="113">
        <f>B8+B11</f>
        <v>79203.81999999999</v>
      </c>
      <c r="C13" s="113">
        <f t="shared" si="2"/>
        <v>80366.08</v>
      </c>
      <c r="D13" s="113">
        <f t="shared" si="2"/>
        <v>79879.11</v>
      </c>
      <c r="E13" s="113">
        <f t="shared" si="2"/>
        <v>80442.75</v>
      </c>
      <c r="F13" s="113">
        <f t="shared" si="2"/>
        <v>80201.59</v>
      </c>
      <c r="G13" s="113">
        <f t="shared" si="2"/>
        <v>81105.88</v>
      </c>
      <c r="H13" s="113">
        <f t="shared" si="2"/>
        <v>82785.81999999999</v>
      </c>
      <c r="I13" s="113">
        <f t="shared" si="2"/>
        <v>82466.15</v>
      </c>
      <c r="J13" s="113">
        <f t="shared" si="2"/>
        <v>81516.73999999999</v>
      </c>
      <c r="K13" s="113">
        <f t="shared" si="2"/>
        <v>79494.61</v>
      </c>
      <c r="L13" s="113">
        <f t="shared" si="2"/>
        <v>79421.49</v>
      </c>
      <c r="M13" s="113">
        <f t="shared" si="2"/>
        <v>81576.46</v>
      </c>
    </row>
    <row r="14" spans="1:13" s="9" customFormat="1" ht="24.75" customHeight="1" thickBot="1">
      <c r="A14" s="143" t="s">
        <v>389</v>
      </c>
      <c r="B14" s="111">
        <f>SUM(B12:B13)</f>
        <v>102631.544</v>
      </c>
      <c r="C14" s="111">
        <f aca="true" t="shared" si="3" ref="C14:M14">SUM(C12:C13)</f>
        <v>104287.112</v>
      </c>
      <c r="D14" s="111">
        <f t="shared" si="3"/>
        <v>104147.838</v>
      </c>
      <c r="E14" s="111">
        <f t="shared" si="3"/>
        <v>105715.033</v>
      </c>
      <c r="F14" s="111">
        <f t="shared" si="3"/>
        <v>106351.03</v>
      </c>
      <c r="G14" s="111">
        <f t="shared" si="3"/>
        <v>108674.028</v>
      </c>
      <c r="H14" s="111">
        <f t="shared" si="3"/>
        <v>111847.896</v>
      </c>
      <c r="I14" s="111">
        <f t="shared" si="3"/>
        <v>113066.45999999999</v>
      </c>
      <c r="J14" s="111">
        <f t="shared" si="3"/>
        <v>113258.73999999999</v>
      </c>
      <c r="K14" s="111">
        <f t="shared" si="3"/>
        <v>112754.198</v>
      </c>
      <c r="L14" s="111">
        <f t="shared" si="3"/>
        <v>113963.29000000001</v>
      </c>
      <c r="M14" s="111">
        <f t="shared" si="3"/>
        <v>117252.54000000001</v>
      </c>
    </row>
    <row r="15" spans="1:13" ht="24.75" customHeight="1" thickBot="1">
      <c r="A15" s="148" t="s">
        <v>29</v>
      </c>
      <c r="B15" s="171">
        <v>0.772</v>
      </c>
      <c r="C15" s="171">
        <v>0.771</v>
      </c>
      <c r="D15" s="171">
        <v>0.767</v>
      </c>
      <c r="E15" s="171">
        <v>0.761</v>
      </c>
      <c r="F15" s="171">
        <v>0.754</v>
      </c>
      <c r="G15" s="171">
        <v>0.746</v>
      </c>
      <c r="H15" s="171">
        <v>0.47</v>
      </c>
      <c r="I15" s="172">
        <v>0.729</v>
      </c>
      <c r="J15" s="172">
        <v>0.72</v>
      </c>
      <c r="K15" s="172">
        <v>0.705</v>
      </c>
      <c r="L15" s="172">
        <v>0.697</v>
      </c>
      <c r="M15" s="172">
        <v>0.696</v>
      </c>
    </row>
    <row r="17" spans="1:13" ht="19.5" customHeight="1">
      <c r="A17" s="514" t="s">
        <v>30</v>
      </c>
      <c r="B17" s="514"/>
      <c r="C17" s="514"/>
      <c r="D17" s="514"/>
      <c r="E17" s="514"/>
      <c r="F17" s="514"/>
      <c r="G17" s="514"/>
      <c r="H17" s="514"/>
      <c r="I17" s="514"/>
      <c r="J17" s="514"/>
      <c r="K17" s="514"/>
      <c r="L17" s="514"/>
      <c r="M17" s="514"/>
    </row>
    <row r="18" ht="12.75">
      <c r="A18" s="52" t="s">
        <v>303</v>
      </c>
    </row>
    <row r="19" ht="12.75">
      <c r="A19" s="5" t="s">
        <v>393</v>
      </c>
    </row>
    <row r="20" ht="6.75" customHeight="1" thickBot="1"/>
    <row r="21" spans="2:13" ht="13.5" customHeight="1" thickBot="1">
      <c r="B21" s="458">
        <v>2008</v>
      </c>
      <c r="C21" s="458"/>
      <c r="D21" s="458"/>
      <c r="E21" s="458"/>
      <c r="F21" s="458"/>
      <c r="G21" s="458"/>
      <c r="H21" s="458"/>
      <c r="I21" s="458"/>
      <c r="J21" s="458"/>
      <c r="K21" s="458"/>
      <c r="L21" s="458"/>
      <c r="M21" s="458"/>
    </row>
    <row r="22" spans="2:13" ht="66" customHeight="1" thickBot="1">
      <c r="B22" s="67" t="s">
        <v>304</v>
      </c>
      <c r="C22" s="67" t="s">
        <v>305</v>
      </c>
      <c r="D22" s="67" t="s">
        <v>306</v>
      </c>
      <c r="E22" s="67" t="s">
        <v>307</v>
      </c>
      <c r="F22" s="67" t="s">
        <v>308</v>
      </c>
      <c r="G22" s="67" t="s">
        <v>309</v>
      </c>
      <c r="H22" s="67" t="s">
        <v>310</v>
      </c>
      <c r="I22" s="67" t="s">
        <v>311</v>
      </c>
      <c r="J22" s="67" t="s">
        <v>312</v>
      </c>
      <c r="K22" s="67" t="s">
        <v>313</v>
      </c>
      <c r="L22" s="67" t="s">
        <v>314</v>
      </c>
      <c r="M22" s="67" t="s">
        <v>315</v>
      </c>
    </row>
    <row r="23" spans="1:13" ht="24.75" customHeight="1" thickBot="1">
      <c r="A23" s="143" t="s">
        <v>31</v>
      </c>
      <c r="B23" s="173">
        <v>10551</v>
      </c>
      <c r="C23" s="173">
        <v>11150</v>
      </c>
      <c r="D23" s="173">
        <v>11921</v>
      </c>
      <c r="E23" s="173">
        <v>13699</v>
      </c>
      <c r="F23" s="173">
        <v>12306</v>
      </c>
      <c r="G23" s="173">
        <v>13638</v>
      </c>
      <c r="H23" s="173">
        <v>12969</v>
      </c>
      <c r="I23" s="173">
        <v>12122</v>
      </c>
      <c r="J23" s="173">
        <v>12876</v>
      </c>
      <c r="K23" s="173">
        <v>13973</v>
      </c>
      <c r="L23" s="173">
        <v>13453</v>
      </c>
      <c r="M23" s="173">
        <v>7626</v>
      </c>
    </row>
    <row r="26" spans="2:12" ht="12.75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</row>
  </sheetData>
  <sheetProtection/>
  <mergeCells count="4">
    <mergeCell ref="B4:M4"/>
    <mergeCell ref="A1:M1"/>
    <mergeCell ref="B21:M21"/>
    <mergeCell ref="A17:M17"/>
  </mergeCells>
  <printOptions horizontalCentered="1"/>
  <pageMargins left="0" right="0" top="0.5" bottom="0.5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P19"/>
  <sheetViews>
    <sheetView zoomScalePageLayoutView="0" workbookViewId="0" topLeftCell="A1">
      <selection activeCell="D4" sqref="D4:O5"/>
    </sheetView>
  </sheetViews>
  <sheetFormatPr defaultColWidth="9.140625" defaultRowHeight="12.75"/>
  <cols>
    <col min="1" max="1" width="9.7109375" style="5" customWidth="1"/>
    <col min="2" max="2" width="8.421875" style="5" customWidth="1"/>
    <col min="3" max="3" width="23.28125" style="5" customWidth="1"/>
    <col min="4" max="15" width="8.00390625" style="25" customWidth="1"/>
    <col min="16" max="16" width="9.140625" style="25" customWidth="1"/>
    <col min="17" max="16384" width="9.140625" style="5" customWidth="1"/>
  </cols>
  <sheetData>
    <row r="1" spans="1:16" ht="19.5" customHeight="1">
      <c r="A1" s="514" t="s">
        <v>43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36"/>
    </row>
    <row r="2" ht="12.75">
      <c r="A2" s="5" t="s">
        <v>303</v>
      </c>
    </row>
    <row r="3" ht="6.75" customHeight="1" thickBot="1"/>
    <row r="4" spans="4:15" ht="13.5" customHeight="1" thickBot="1">
      <c r="D4" s="458">
        <v>2008</v>
      </c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</row>
    <row r="5" spans="4:15" ht="48" thickBot="1">
      <c r="D5" s="67" t="s">
        <v>304</v>
      </c>
      <c r="E5" s="67" t="s">
        <v>305</v>
      </c>
      <c r="F5" s="67" t="s">
        <v>306</v>
      </c>
      <c r="G5" s="67" t="s">
        <v>307</v>
      </c>
      <c r="H5" s="67" t="s">
        <v>308</v>
      </c>
      <c r="I5" s="67" t="s">
        <v>309</v>
      </c>
      <c r="J5" s="67" t="s">
        <v>310</v>
      </c>
      <c r="K5" s="67" t="s">
        <v>311</v>
      </c>
      <c r="L5" s="67" t="s">
        <v>312</v>
      </c>
      <c r="M5" s="67" t="s">
        <v>313</v>
      </c>
      <c r="N5" s="67" t="s">
        <v>314</v>
      </c>
      <c r="O5" s="67" t="s">
        <v>315</v>
      </c>
    </row>
    <row r="6" spans="1:15" ht="30" customHeight="1">
      <c r="A6" s="521" t="s">
        <v>33</v>
      </c>
      <c r="B6" s="518" t="s">
        <v>34</v>
      </c>
      <c r="C6" s="518"/>
      <c r="D6" s="174">
        <v>10.04</v>
      </c>
      <c r="E6" s="174">
        <v>9.94</v>
      </c>
      <c r="F6" s="174">
        <v>9.92</v>
      </c>
      <c r="G6" s="174">
        <v>9.86</v>
      </c>
      <c r="H6" s="174">
        <v>9.72</v>
      </c>
      <c r="I6" s="174">
        <v>10.09</v>
      </c>
      <c r="J6" s="174">
        <v>10.13</v>
      </c>
      <c r="K6" s="174">
        <v>9.96</v>
      </c>
      <c r="L6" s="174">
        <v>9.98</v>
      </c>
      <c r="M6" s="174">
        <v>9.9</v>
      </c>
      <c r="N6" s="174">
        <v>10.08</v>
      </c>
      <c r="O6" s="174">
        <v>9.95</v>
      </c>
    </row>
    <row r="7" spans="1:15" ht="30" customHeight="1">
      <c r="A7" s="522"/>
      <c r="B7" s="529" t="s">
        <v>35</v>
      </c>
      <c r="C7" s="529"/>
      <c r="D7" s="175">
        <v>2.75</v>
      </c>
      <c r="E7" s="175">
        <v>2.65</v>
      </c>
      <c r="F7" s="175">
        <v>2.64</v>
      </c>
      <c r="G7" s="175">
        <v>2.42</v>
      </c>
      <c r="H7" s="175">
        <v>2.39</v>
      </c>
      <c r="I7" s="175">
        <v>2.46</v>
      </c>
      <c r="J7" s="175">
        <v>2.5</v>
      </c>
      <c r="K7" s="175">
        <v>3.07</v>
      </c>
      <c r="L7" s="175">
        <v>3.29</v>
      </c>
      <c r="M7" s="175">
        <v>1.57</v>
      </c>
      <c r="N7" s="175">
        <v>1.53</v>
      </c>
      <c r="O7" s="175">
        <v>1.72</v>
      </c>
    </row>
    <row r="8" spans="1:15" s="8" customFormat="1" ht="30" customHeight="1">
      <c r="A8" s="522"/>
      <c r="B8" s="529" t="s">
        <v>36</v>
      </c>
      <c r="C8" s="529"/>
      <c r="D8" s="175">
        <v>4.22</v>
      </c>
      <c r="E8" s="175">
        <v>4.14</v>
      </c>
      <c r="F8" s="175">
        <v>4.06</v>
      </c>
      <c r="G8" s="175">
        <v>4.02</v>
      </c>
      <c r="H8" s="175">
        <v>4.18</v>
      </c>
      <c r="I8" s="175">
        <v>3.89</v>
      </c>
      <c r="J8" s="175">
        <v>3.97</v>
      </c>
      <c r="K8" s="175">
        <v>3.96</v>
      </c>
      <c r="L8" s="175">
        <v>4.07</v>
      </c>
      <c r="M8" s="175">
        <v>4.05</v>
      </c>
      <c r="N8" s="175">
        <v>4.18</v>
      </c>
      <c r="O8" s="175">
        <v>4.21</v>
      </c>
    </row>
    <row r="9" spans="1:15" s="9" customFormat="1" ht="30" customHeight="1">
      <c r="A9" s="522"/>
      <c r="B9" s="530" t="s">
        <v>37</v>
      </c>
      <c r="C9" s="530"/>
      <c r="D9" s="175">
        <v>7.93</v>
      </c>
      <c r="E9" s="175">
        <v>7.8</v>
      </c>
      <c r="F9" s="175">
        <v>7.79</v>
      </c>
      <c r="G9" s="175">
        <v>7.71</v>
      </c>
      <c r="H9" s="175">
        <v>7.71</v>
      </c>
      <c r="I9" s="175">
        <v>7.68</v>
      </c>
      <c r="J9" s="175">
        <v>7.67</v>
      </c>
      <c r="K9" s="175">
        <v>7.64</v>
      </c>
      <c r="L9" s="175">
        <v>7.63</v>
      </c>
      <c r="M9" s="175">
        <v>7.64</v>
      </c>
      <c r="N9" s="175">
        <v>7.63</v>
      </c>
      <c r="O9" s="175">
        <v>7.62</v>
      </c>
    </row>
    <row r="10" spans="1:15" s="9" customFormat="1" ht="30" customHeight="1" thickBot="1">
      <c r="A10" s="523"/>
      <c r="B10" s="528" t="s">
        <v>38</v>
      </c>
      <c r="C10" s="528"/>
      <c r="D10" s="176">
        <v>7.35</v>
      </c>
      <c r="E10" s="176">
        <v>7.26</v>
      </c>
      <c r="F10" s="176">
        <v>7.22</v>
      </c>
      <c r="G10" s="176">
        <v>7.26</v>
      </c>
      <c r="H10" s="176">
        <v>7.27</v>
      </c>
      <c r="I10" s="176">
        <v>7.25</v>
      </c>
      <c r="J10" s="176">
        <v>7.23</v>
      </c>
      <c r="K10" s="176">
        <v>7.23</v>
      </c>
      <c r="L10" s="176">
        <v>7.18</v>
      </c>
      <c r="M10" s="176">
        <v>7.28</v>
      </c>
      <c r="N10" s="176">
        <v>7.27</v>
      </c>
      <c r="O10" s="176">
        <v>7.22</v>
      </c>
    </row>
    <row r="11" spans="1:15" s="9" customFormat="1" ht="30" customHeight="1" thickBot="1">
      <c r="A11" s="510" t="s">
        <v>39</v>
      </c>
      <c r="B11" s="511"/>
      <c r="C11" s="511"/>
      <c r="D11" s="177">
        <v>3.5</v>
      </c>
      <c r="E11" s="177">
        <v>3.5</v>
      </c>
      <c r="F11" s="177">
        <v>3.5</v>
      </c>
      <c r="G11" s="177">
        <v>3.75</v>
      </c>
      <c r="H11" s="177">
        <v>3.5</v>
      </c>
      <c r="I11" s="177">
        <v>3.5</v>
      </c>
      <c r="J11" s="177">
        <v>3.5</v>
      </c>
      <c r="K11" s="177">
        <v>3.5</v>
      </c>
      <c r="L11" s="177">
        <v>3.75</v>
      </c>
      <c r="M11" s="177">
        <v>3.5</v>
      </c>
      <c r="N11" s="177">
        <v>3.5</v>
      </c>
      <c r="O11" s="178">
        <v>4</v>
      </c>
    </row>
    <row r="12" spans="1:15" s="9" customFormat="1" ht="30" customHeight="1">
      <c r="A12" s="524" t="s">
        <v>44</v>
      </c>
      <c r="B12" s="517" t="s">
        <v>34</v>
      </c>
      <c r="C12" s="518"/>
      <c r="D12" s="174">
        <v>7.93</v>
      </c>
      <c r="E12" s="174">
        <v>7.71</v>
      </c>
      <c r="F12" s="174">
        <v>7.57</v>
      </c>
      <c r="G12" s="174">
        <v>7.42</v>
      </c>
      <c r="H12" s="174">
        <v>7.43</v>
      </c>
      <c r="I12" s="174">
        <v>7.28</v>
      </c>
      <c r="J12" s="174">
        <v>7.32</v>
      </c>
      <c r="K12" s="174">
        <v>7.17</v>
      </c>
      <c r="L12" s="174">
        <v>7.37</v>
      </c>
      <c r="M12" s="174">
        <v>7.53</v>
      </c>
      <c r="N12" s="174">
        <v>7.54</v>
      </c>
      <c r="O12" s="174">
        <v>7.473</v>
      </c>
    </row>
    <row r="13" spans="1:15" s="9" customFormat="1" ht="30" customHeight="1">
      <c r="A13" s="525"/>
      <c r="B13" s="531" t="s">
        <v>35</v>
      </c>
      <c r="C13" s="529"/>
      <c r="D13" s="175">
        <v>1.01</v>
      </c>
      <c r="E13" s="175">
        <v>0.98</v>
      </c>
      <c r="F13" s="175">
        <v>1.05</v>
      </c>
      <c r="G13" s="175">
        <v>0.81</v>
      </c>
      <c r="H13" s="175">
        <v>0.84</v>
      </c>
      <c r="I13" s="175">
        <v>0.77</v>
      </c>
      <c r="J13" s="175">
        <v>0.75</v>
      </c>
      <c r="K13" s="175">
        <v>0.72</v>
      </c>
      <c r="L13" s="175">
        <v>0.78</v>
      </c>
      <c r="M13" s="175">
        <v>0.58</v>
      </c>
      <c r="N13" s="175">
        <v>0.56</v>
      </c>
      <c r="O13" s="175">
        <v>0.6</v>
      </c>
    </row>
    <row r="14" spans="1:15" s="9" customFormat="1" ht="30" customHeight="1">
      <c r="A14" s="525"/>
      <c r="B14" s="531" t="s">
        <v>36</v>
      </c>
      <c r="C14" s="529"/>
      <c r="D14" s="175">
        <v>1.61</v>
      </c>
      <c r="E14" s="175">
        <v>1.54</v>
      </c>
      <c r="F14" s="175">
        <v>1.55</v>
      </c>
      <c r="G14" s="175">
        <v>1.45</v>
      </c>
      <c r="H14" s="175">
        <v>1.45</v>
      </c>
      <c r="I14" s="175">
        <v>1.44</v>
      </c>
      <c r="J14" s="175">
        <v>1.42</v>
      </c>
      <c r="K14" s="175">
        <v>1.44</v>
      </c>
      <c r="L14" s="175">
        <v>1.52</v>
      </c>
      <c r="M14" s="175">
        <v>1.44</v>
      </c>
      <c r="N14" s="175">
        <v>1.41</v>
      </c>
      <c r="O14" s="175">
        <v>1.53</v>
      </c>
    </row>
    <row r="15" spans="1:15" ht="30" customHeight="1">
      <c r="A15" s="525"/>
      <c r="B15" s="532" t="s">
        <v>37</v>
      </c>
      <c r="C15" s="530"/>
      <c r="D15" s="179">
        <v>5.06</v>
      </c>
      <c r="E15" s="179">
        <v>4.65</v>
      </c>
      <c r="F15" s="179">
        <v>4.3</v>
      </c>
      <c r="G15" s="179">
        <v>4.06</v>
      </c>
      <c r="H15" s="179">
        <v>4.01</v>
      </c>
      <c r="I15" s="179">
        <v>4</v>
      </c>
      <c r="J15" s="179">
        <v>3.99</v>
      </c>
      <c r="K15" s="179">
        <v>4.01</v>
      </c>
      <c r="L15" s="179">
        <v>4.06</v>
      </c>
      <c r="M15" s="179">
        <v>3.98</v>
      </c>
      <c r="N15" s="179">
        <v>3.91</v>
      </c>
      <c r="O15" s="179">
        <v>3.81</v>
      </c>
    </row>
    <row r="16" spans="1:15" ht="30" customHeight="1" thickBot="1">
      <c r="A16" s="526"/>
      <c r="B16" s="527" t="s">
        <v>38</v>
      </c>
      <c r="C16" s="528"/>
      <c r="D16" s="180">
        <v>4.57</v>
      </c>
      <c r="E16" s="180">
        <v>4.2</v>
      </c>
      <c r="F16" s="180">
        <v>3.84</v>
      </c>
      <c r="G16" s="180">
        <v>3.67</v>
      </c>
      <c r="H16" s="180">
        <v>3.61</v>
      </c>
      <c r="I16" s="180">
        <v>3.55</v>
      </c>
      <c r="J16" s="180">
        <v>3.5</v>
      </c>
      <c r="K16" s="180">
        <v>3.55</v>
      </c>
      <c r="L16" s="180">
        <v>3.57</v>
      </c>
      <c r="M16" s="180">
        <v>3.54</v>
      </c>
      <c r="N16" s="180">
        <v>3.47</v>
      </c>
      <c r="O16" s="180">
        <v>3.33</v>
      </c>
    </row>
    <row r="17" spans="1:15" ht="39.75" customHeight="1">
      <c r="A17" s="515" t="s">
        <v>40</v>
      </c>
      <c r="B17" s="517" t="s">
        <v>41</v>
      </c>
      <c r="C17" s="518"/>
      <c r="D17" s="174">
        <v>7.12</v>
      </c>
      <c r="E17" s="174">
        <v>8.42</v>
      </c>
      <c r="F17" s="174">
        <v>7.48</v>
      </c>
      <c r="G17" s="174">
        <v>8.89</v>
      </c>
      <c r="H17" s="174">
        <v>7.78</v>
      </c>
      <c r="I17" s="174">
        <v>8.66</v>
      </c>
      <c r="J17" s="174">
        <v>8.39</v>
      </c>
      <c r="K17" s="174">
        <v>7.66</v>
      </c>
      <c r="L17" s="174">
        <v>8.66</v>
      </c>
      <c r="M17" s="174">
        <v>15.73</v>
      </c>
      <c r="N17" s="174">
        <v>9.9</v>
      </c>
      <c r="O17" s="174">
        <v>9.53</v>
      </c>
    </row>
    <row r="18" spans="1:15" ht="39.75" customHeight="1" thickBot="1">
      <c r="A18" s="516"/>
      <c r="B18" s="519" t="s">
        <v>42</v>
      </c>
      <c r="C18" s="520"/>
      <c r="D18" s="181">
        <v>2.96</v>
      </c>
      <c r="E18" s="181">
        <v>4.47</v>
      </c>
      <c r="F18" s="181">
        <v>3.88</v>
      </c>
      <c r="G18" s="181">
        <v>4.99</v>
      </c>
      <c r="H18" s="181">
        <v>4.09</v>
      </c>
      <c r="I18" s="181">
        <v>3.99</v>
      </c>
      <c r="J18" s="181">
        <v>3.64</v>
      </c>
      <c r="K18" s="181">
        <v>3.67</v>
      </c>
      <c r="L18" s="181">
        <v>4.39</v>
      </c>
      <c r="M18" s="181">
        <v>8.65</v>
      </c>
      <c r="N18" s="181">
        <v>6.7</v>
      </c>
      <c r="O18" s="181">
        <v>5.55</v>
      </c>
    </row>
    <row r="19" spans="4:14" ht="12.75"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</row>
  </sheetData>
  <sheetProtection/>
  <mergeCells count="18">
    <mergeCell ref="B15:C15"/>
    <mergeCell ref="A11:C11"/>
    <mergeCell ref="A1:O1"/>
    <mergeCell ref="D4:O4"/>
    <mergeCell ref="B6:C6"/>
    <mergeCell ref="B7:C7"/>
    <mergeCell ref="B12:C12"/>
    <mergeCell ref="B13:C13"/>
    <mergeCell ref="A17:A18"/>
    <mergeCell ref="B17:C17"/>
    <mergeCell ref="B18:C18"/>
    <mergeCell ref="A6:A10"/>
    <mergeCell ref="A12:A16"/>
    <mergeCell ref="B16:C16"/>
    <mergeCell ref="B8:C8"/>
    <mergeCell ref="B9:C9"/>
    <mergeCell ref="B10:C10"/>
    <mergeCell ref="B14:C14"/>
  </mergeCells>
  <printOptions horizontalCentered="1"/>
  <pageMargins left="0" right="0" top="0.5" bottom="0.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hamamy</cp:lastModifiedBy>
  <cp:lastPrinted>2010-03-27T10:35:40Z</cp:lastPrinted>
  <dcterms:created xsi:type="dcterms:W3CDTF">2006-02-24T09:38:25Z</dcterms:created>
  <dcterms:modified xsi:type="dcterms:W3CDTF">2010-04-19T15:58:30Z</dcterms:modified>
  <cp:category/>
  <cp:version/>
  <cp:contentType/>
  <cp:contentStatus/>
</cp:coreProperties>
</file>