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944" activeTab="0"/>
  </bookViews>
  <sheets>
    <sheet name="الفهرس" sheetId="1" r:id="rId1"/>
    <sheet name="1-4" sheetId="2" r:id="rId2"/>
    <sheet name="5-8" sheetId="3" r:id="rId3"/>
    <sheet name="9-11" sheetId="4" r:id="rId4"/>
    <sheet name="12-15" sheetId="5" r:id="rId5"/>
    <sheet name="16-17" sheetId="6" r:id="rId6"/>
    <sheet name="18-30" sheetId="7" r:id="rId7"/>
  </sheets>
  <definedNames/>
  <calcPr fullCalcOnLoad="1"/>
</workbook>
</file>

<file path=xl/sharedStrings.xml><?xml version="1.0" encoding="utf-8"?>
<sst xmlns="http://schemas.openxmlformats.org/spreadsheetml/2006/main" count="694" uniqueCount="188">
  <si>
    <t xml:space="preserve">الشؤون العقارية
 REAL ESTATE
 </t>
  </si>
  <si>
    <t xml:space="preserve">  بيروت
Beirut</t>
  </si>
  <si>
    <t xml:space="preserve"> بعبدا عاليه الشوف
Baabda Aaley Chouf </t>
  </si>
  <si>
    <t xml:space="preserve"> كسروان جبيل
Kesrouan Jbayl </t>
  </si>
  <si>
    <t xml:space="preserve"> المتن
Matn </t>
  </si>
  <si>
    <t xml:space="preserve">  لبنان الشمالي1 
 North Lebanon 1</t>
  </si>
  <si>
    <t xml:space="preserve">  لبنان الشمالي2 
 North Lebanon 2</t>
  </si>
  <si>
    <t xml:space="preserve">   البقاع
Bekaa</t>
  </si>
  <si>
    <t xml:space="preserve"> الجنوب
South Lebanon</t>
  </si>
  <si>
    <t xml:space="preserve">  النبطية
Nabatieh</t>
  </si>
  <si>
    <t xml:space="preserve"> بعبدا عاليه الشوف
Baabda Aaley Chouf</t>
  </si>
  <si>
    <t xml:space="preserve"> كسروان جبيل
Kesrouan Jbayl</t>
  </si>
  <si>
    <t xml:space="preserve">  المتن
Matn</t>
  </si>
  <si>
    <t xml:space="preserve">  البقاع
 Bekaa</t>
  </si>
  <si>
    <t xml:space="preserve">   النبطية
Nabatieh</t>
  </si>
  <si>
    <t xml:space="preserve">  الجنوب
 South Lebanon</t>
  </si>
  <si>
    <t xml:space="preserve">  كانون ثاني
January </t>
  </si>
  <si>
    <t xml:space="preserve">شباط
February </t>
  </si>
  <si>
    <t xml:space="preserve">  آذار
 March </t>
  </si>
  <si>
    <t>صفحة : 2</t>
  </si>
  <si>
    <t>صفحة : 6</t>
  </si>
  <si>
    <t>نيسان
April</t>
  </si>
  <si>
    <t>المجموع
Total</t>
  </si>
  <si>
    <t>الوحدة : ملايين الليرات</t>
  </si>
  <si>
    <t>Unit: millions of LBP</t>
  </si>
  <si>
    <t>الشهر                                 
                   المناطق العقارية</t>
  </si>
  <si>
    <t xml:space="preserve"> أيار
May</t>
  </si>
  <si>
    <t xml:space="preserve"> حزيران
 June</t>
  </si>
  <si>
    <t xml:space="preserve">  تموز
July</t>
  </si>
  <si>
    <t xml:space="preserve">  آب
August</t>
  </si>
  <si>
    <t xml:space="preserve">  أيلول
September</t>
  </si>
  <si>
    <t xml:space="preserve"> تشرين أول
 October </t>
  </si>
  <si>
    <t xml:space="preserve"> تشرين ثاني
 November </t>
  </si>
  <si>
    <t xml:space="preserve"> كانون أول
 December </t>
  </si>
  <si>
    <t xml:space="preserve">2015 مجموع 
Total 2015 </t>
  </si>
  <si>
    <t>جدول 1: عدد العمليات المسجلة   ( بيوعات وهبات وانتقال  ) شهرياّ بموجب المناطق العقارية  خلال العام 2015</t>
  </si>
  <si>
    <t>جدول 2: قيمة العمليات المسجلة   ( بيوعات وهبات وانتقال ) شهرياّ بموجب المناطق العقارية  خلال العام 2015</t>
  </si>
  <si>
    <t>جدول 3: عدد العمليات المسجلة   ( الرهونات العقارية  ) شهرياّ بموجب المناطق العقارية  خلال العام 2015</t>
  </si>
  <si>
    <t>جدول 4: قيمة العمليات المسجلة   (الرهونات العقارية) شهرياّ بموجب المناطق العقارية  خلال العام 2015</t>
  </si>
  <si>
    <t>جدول 5: عدد العمليات المسجلة   ( رهونات مرفوعة ) شهرياّ بموجب المناطق العقارية  خلال العام 2015</t>
  </si>
  <si>
    <t>جدول 6: قيمة العمليات المسجلة   ( رهونات مرفوعة ) شهرياّ بموجب المناطق العقارية  خلال العام 2015</t>
  </si>
  <si>
    <t>جدول7: عدد العمليات المسجلة   (حجز  ) شهرياّ بموجب المناطق العقارية  خلال العام 2015</t>
  </si>
  <si>
    <t>جدول 8: عدد العمليات المسجلة   (فك حجز) شهرياّ بموجب المناطق العقارية  خلال العام 2015</t>
  </si>
  <si>
    <t>جدول 9: عدد العقارات  شهرياّ بموجب المناطق العقارية  خلال العام 2015</t>
  </si>
  <si>
    <t>جدول 10:عدد معاملات وعقود شهرياّ بموجب المناطق العقارية  خلال العام 2015</t>
  </si>
  <si>
    <t>جدول11: عدد  عقارات ومعاملات ( بدل عن ضائع  ) شهرياّ بموجب المناطق العقارية  خلال العام 2015</t>
  </si>
  <si>
    <t>جدول 12: عدد ضرائب أساسية شهرياّ بموجب المناطق العقارية  خلال العام 2015</t>
  </si>
  <si>
    <t>جدول 13:عدد الرسوم عن الأجانب شهرياّ بموجب المناطق العقارية  خلال العام 2015</t>
  </si>
  <si>
    <t>جدول14: عدد الرسوم المستوفاة عن عقود البيع شهرياّ بموجب المناطق العقارية  خلال العام 2015</t>
  </si>
  <si>
    <t>جدول 15: عدد مجمل الرسم البلدي المستوفى شهرياّ بموجب المناطق العقارية  خلال العام 2015</t>
  </si>
  <si>
    <t>الشهر                                 
                  العدد</t>
  </si>
  <si>
    <t xml:space="preserve">
Sales, donations &amp; successions  البيوعات والهبات والانتقال</t>
  </si>
  <si>
    <t xml:space="preserve"> الرهونات العقارية
Real-estate mortagages</t>
  </si>
  <si>
    <t xml:space="preserve">  الرهونات المرفوعة
 Levied mortagages</t>
  </si>
  <si>
    <t xml:space="preserve">الحجز
 Seizes  </t>
  </si>
  <si>
    <t xml:space="preserve">  فك حجز
Levied seizes</t>
  </si>
  <si>
    <t xml:space="preserve">  العقارات
 Real-estate</t>
  </si>
  <si>
    <t xml:space="preserve"> المعاملات والعقود
 Transactions &amp; contracts</t>
  </si>
  <si>
    <t>صفحة : 3</t>
  </si>
  <si>
    <t>صفحة : 4</t>
  </si>
  <si>
    <t>صفحة : 5</t>
  </si>
  <si>
    <t>جدول 16: عدد المعاملات العقارية  بالمحكمة العقارية شهريا خلال العام 2015</t>
  </si>
  <si>
    <t>جدول 17: قيمة  المعاملات العقارية  بالمحكمة العقارية شهريا خلال العام 2015</t>
  </si>
  <si>
    <t xml:space="preserve">المصدر :المديرية العامة للشؤون العقارية
</t>
  </si>
  <si>
    <t>المصدر :المديرية العامة للشؤون العقارية</t>
  </si>
  <si>
    <t>بيروت</t>
  </si>
  <si>
    <t>----</t>
  </si>
  <si>
    <t>جبل لبنان</t>
  </si>
  <si>
    <t>البقاع</t>
  </si>
  <si>
    <t>لبنان الجنوبي</t>
  </si>
  <si>
    <t>النبطية</t>
  </si>
  <si>
    <t>لبنان الشمالي</t>
  </si>
  <si>
    <t>المجموع</t>
  </si>
  <si>
    <t>كانون الثاني</t>
  </si>
  <si>
    <t>شباط</t>
  </si>
  <si>
    <t>آذار</t>
  </si>
  <si>
    <t>نيسان</t>
  </si>
  <si>
    <t>أيار</t>
  </si>
  <si>
    <t>حزيران</t>
  </si>
  <si>
    <t>تموز</t>
  </si>
  <si>
    <t>آب</t>
  </si>
  <si>
    <t>ايلول</t>
  </si>
  <si>
    <t>تشرين أول</t>
  </si>
  <si>
    <t>تشرين ثاني</t>
  </si>
  <si>
    <t>كانون الأول</t>
  </si>
  <si>
    <t>أيّار</t>
  </si>
  <si>
    <t>تمّوز</t>
  </si>
  <si>
    <t>أيلول</t>
  </si>
  <si>
    <r>
      <t xml:space="preserve">تشرين </t>
    </r>
    <r>
      <rPr>
        <b/>
        <sz val="10"/>
        <rFont val="Cambria"/>
        <family val="1"/>
      </rPr>
      <t>أول</t>
    </r>
  </si>
  <si>
    <r>
      <t xml:space="preserve">تشرين </t>
    </r>
    <r>
      <rPr>
        <b/>
        <sz val="10"/>
        <rFont val="Cambria"/>
        <family val="1"/>
      </rPr>
      <t>ثاني</t>
    </r>
  </si>
  <si>
    <r>
      <t>كانون الأ</t>
    </r>
    <r>
      <rPr>
        <b/>
        <sz val="10"/>
        <rFont val="Cambria"/>
        <family val="1"/>
      </rPr>
      <t>ول</t>
    </r>
  </si>
  <si>
    <t>الشمال</t>
  </si>
  <si>
    <t>الجنوب</t>
  </si>
  <si>
    <t xml:space="preserve">تشرين ثاني </t>
  </si>
  <si>
    <t>نقابة بيروت</t>
  </si>
  <si>
    <t>نقابة الشمال</t>
  </si>
  <si>
    <t>أنواع</t>
  </si>
  <si>
    <t>عدد</t>
  </si>
  <si>
    <t>معاملات رخص البناء</t>
  </si>
  <si>
    <t>معاملات التصريح</t>
  </si>
  <si>
    <t>نوع المعاملة</t>
  </si>
  <si>
    <t>عدد المعاملات</t>
  </si>
  <si>
    <t>إنشاء</t>
  </si>
  <si>
    <t>إنشاء وبناء</t>
  </si>
  <si>
    <t>بناء</t>
  </si>
  <si>
    <t>بناء وتصوينة</t>
  </si>
  <si>
    <t>إضافة</t>
  </si>
  <si>
    <t>تعديل</t>
  </si>
  <si>
    <t>إضافة وتعديل</t>
  </si>
  <si>
    <t>تعديل واسكان</t>
  </si>
  <si>
    <t>تسوية</t>
  </si>
  <si>
    <t>تسوية واسكان</t>
  </si>
  <si>
    <t>اسكان</t>
  </si>
  <si>
    <t>استثمار</t>
  </si>
  <si>
    <t>مختلف</t>
  </si>
  <si>
    <t>تصوينة</t>
  </si>
  <si>
    <t>هدم</t>
  </si>
  <si>
    <t>حفر وتدعيم</t>
  </si>
  <si>
    <t>تدعيم</t>
  </si>
  <si>
    <t>ترميم</t>
  </si>
  <si>
    <t>تعديل داخلي وترميم</t>
  </si>
  <si>
    <t>ترميم واسكان</t>
  </si>
  <si>
    <t>استصلاح أراضي</t>
  </si>
  <si>
    <t>لوحة إعلانية</t>
  </si>
  <si>
    <t>أعمال تكميلية</t>
  </si>
  <si>
    <t>قانونية بناء</t>
  </si>
  <si>
    <t>وجهة الاستعمال</t>
  </si>
  <si>
    <t>مساحات م.م.</t>
  </si>
  <si>
    <t>نسبة %</t>
  </si>
  <si>
    <t>بناء سكني</t>
  </si>
  <si>
    <t>أبنية تجارية</t>
  </si>
  <si>
    <t>أبنية خدمات سياحية وفنادق</t>
  </si>
  <si>
    <t>أبنية خدمات عامة (مدارس,مستشفيات...)</t>
  </si>
  <si>
    <t>أبنية القطاع الإقتصادي (زراعة, صناعة)</t>
  </si>
  <si>
    <t>ابنية عامة (إداري، اجتماعي، ثقافي)</t>
  </si>
  <si>
    <t>أبنية سكنية</t>
  </si>
  <si>
    <t>أبنية سياحية وفنادق</t>
  </si>
  <si>
    <t>أبنية خدمات عامة
 (مدارس ومستشفيات)</t>
  </si>
  <si>
    <t>أبنية القطاع الاقتصادي</t>
  </si>
  <si>
    <t>أبنية عامة
(إدارية، اجتماعي، ثقافي)</t>
  </si>
  <si>
    <t>---</t>
  </si>
  <si>
    <r>
      <t>الشمال</t>
    </r>
    <r>
      <rPr>
        <b/>
        <sz val="11"/>
        <rFont val="Calibri"/>
        <family val="2"/>
      </rPr>
      <t>٭</t>
    </r>
  </si>
  <si>
    <t>إظهار حدود</t>
  </si>
  <si>
    <t>مناسيب</t>
  </si>
  <si>
    <t>كيل</t>
  </si>
  <si>
    <t>مقاطع</t>
  </si>
  <si>
    <t>تركيز بناء</t>
  </si>
  <si>
    <t>إظهار حدود ومناسيب</t>
  </si>
  <si>
    <t>إظهار حدود وكيل</t>
  </si>
  <si>
    <t>إظهار حدود وتركيز بناء</t>
  </si>
  <si>
    <t>مناسيب وكيل</t>
  </si>
  <si>
    <t>تركيز بئر</t>
  </si>
  <si>
    <t>إفراز</t>
  </si>
  <si>
    <t>إفراز ودراسات</t>
  </si>
  <si>
    <t>الشهر
السنة</t>
  </si>
  <si>
    <t>الوحدة: متر مكعب</t>
  </si>
  <si>
    <t>الشهر
المحافظة</t>
  </si>
  <si>
    <t>العام
المنطقة</t>
  </si>
  <si>
    <t xml:space="preserve">          وجهة الاستعمال
المحافظة</t>
  </si>
  <si>
    <t>العام</t>
  </si>
  <si>
    <t xml:space="preserve">                 العام
المنطقة</t>
  </si>
  <si>
    <t>المصدر: نقابة المهندسين في بيروت</t>
  </si>
  <si>
    <t>العام
المحافظة</t>
  </si>
  <si>
    <t xml:space="preserve">   جدول 17: المساحات الإجمالية المسجّلة شهريا للسنوات 2013 - 2014 - 2015</t>
  </si>
  <si>
    <r>
      <rPr>
        <b/>
        <sz val="12"/>
        <rFont val="Simplified Arabic"/>
        <family val="0"/>
      </rPr>
      <t xml:space="preserve">   جدول</t>
    </r>
    <r>
      <rPr>
        <b/>
        <sz val="12"/>
        <rFont val="Arial"/>
        <family val="2"/>
      </rPr>
      <t xml:space="preserve"> 18:</t>
    </r>
    <r>
      <rPr>
        <b/>
        <sz val="12"/>
        <rFont val="Simplified Arabic"/>
        <family val="0"/>
      </rPr>
      <t xml:space="preserve"> المساحات الإجمالية المسجّلة شهريا للسنوات </t>
    </r>
    <r>
      <rPr>
        <b/>
        <sz val="12"/>
        <rFont val="Cambria"/>
        <family val="1"/>
      </rPr>
      <t>2013 - 2014 - 2015</t>
    </r>
  </si>
  <si>
    <r>
      <rPr>
        <b/>
        <sz val="12"/>
        <rFont val="Simplified Arabic"/>
        <family val="0"/>
      </rPr>
      <t xml:space="preserve"> جدول </t>
    </r>
    <r>
      <rPr>
        <b/>
        <sz val="12"/>
        <rFont val="Arabic Transparent"/>
        <family val="0"/>
      </rPr>
      <t xml:space="preserve">19: </t>
    </r>
    <r>
      <rPr>
        <b/>
        <sz val="12"/>
        <rFont val="Simplified Arabic"/>
        <family val="0"/>
      </rPr>
      <t>الأمتار المسجّلة والمنجزة شهريا" بموجب المحافظة من</t>
    </r>
    <r>
      <rPr>
        <b/>
        <sz val="12"/>
        <rFont val="Arabic Transparent"/>
        <family val="0"/>
      </rPr>
      <t xml:space="preserve"> </t>
    </r>
    <r>
      <rPr>
        <b/>
        <sz val="12"/>
        <rFont val="Cambria"/>
        <family val="1"/>
      </rPr>
      <t>2015/1/1</t>
    </r>
    <r>
      <rPr>
        <b/>
        <sz val="12"/>
        <rFont val="Arabic Transparent"/>
        <family val="0"/>
      </rPr>
      <t xml:space="preserve"> إ</t>
    </r>
    <r>
      <rPr>
        <b/>
        <sz val="12"/>
        <rFont val="Simplified Arabic"/>
        <family val="0"/>
      </rPr>
      <t>لى</t>
    </r>
    <r>
      <rPr>
        <b/>
        <sz val="12"/>
        <rFont val="Arabic Transparent"/>
        <family val="0"/>
      </rPr>
      <t xml:space="preserve"> </t>
    </r>
    <r>
      <rPr>
        <b/>
        <sz val="12"/>
        <rFont val="Cambria"/>
        <family val="1"/>
      </rPr>
      <t>2015/12/31</t>
    </r>
    <r>
      <rPr>
        <b/>
        <sz val="12"/>
        <rFont val="Arabic Transparent"/>
        <family val="0"/>
      </rPr>
      <t xml:space="preserve">  </t>
    </r>
  </si>
  <si>
    <r>
      <rPr>
        <b/>
        <sz val="12"/>
        <rFont val="Simplified Arabic"/>
        <family val="0"/>
      </rPr>
      <t xml:space="preserve">  جدول</t>
    </r>
    <r>
      <rPr>
        <b/>
        <sz val="12"/>
        <rFont val="Arabic Transparent"/>
        <family val="0"/>
      </rPr>
      <t>20:</t>
    </r>
    <r>
      <rPr>
        <b/>
        <sz val="12"/>
        <rFont val="Simplified Arabic"/>
        <family val="0"/>
      </rPr>
      <t>عدد المعاملات المسجّلة والمنجزة  شهريا" بموجب المحافظة من</t>
    </r>
    <r>
      <rPr>
        <b/>
        <sz val="12"/>
        <rFont val="Arabic Transparent"/>
        <family val="0"/>
      </rPr>
      <t xml:space="preserve"> </t>
    </r>
    <r>
      <rPr>
        <b/>
        <sz val="12"/>
        <rFont val="Cambria"/>
        <family val="1"/>
      </rPr>
      <t>2015/1/1</t>
    </r>
    <r>
      <rPr>
        <b/>
        <sz val="12"/>
        <rFont val="Arabic Transparent"/>
        <family val="0"/>
      </rPr>
      <t xml:space="preserve"> إ</t>
    </r>
    <r>
      <rPr>
        <b/>
        <sz val="12"/>
        <rFont val="Simplified Arabic"/>
        <family val="0"/>
      </rPr>
      <t>لى</t>
    </r>
    <r>
      <rPr>
        <b/>
        <sz val="12"/>
        <rFont val="Arabic Transparent"/>
        <family val="0"/>
      </rPr>
      <t xml:space="preserve"> </t>
    </r>
    <r>
      <rPr>
        <b/>
        <sz val="12"/>
        <rFont val="Cambria"/>
        <family val="1"/>
      </rPr>
      <t>2015/12/31</t>
    </r>
    <r>
      <rPr>
        <b/>
        <sz val="12"/>
        <rFont val="Arabic Transparent"/>
        <family val="0"/>
      </rPr>
      <t xml:space="preserve"> </t>
    </r>
  </si>
  <si>
    <r>
      <rPr>
        <b/>
        <sz val="12"/>
        <rFont val="Simplified Arabic"/>
        <family val="0"/>
      </rPr>
      <t xml:space="preserve">  جدول</t>
    </r>
    <r>
      <rPr>
        <b/>
        <sz val="12"/>
        <rFont val="Arial"/>
        <family val="2"/>
      </rPr>
      <t xml:space="preserve"> 21: </t>
    </r>
    <r>
      <rPr>
        <b/>
        <sz val="12"/>
        <rFont val="Simplified Arabic"/>
        <family val="0"/>
      </rPr>
      <t>مقارنة مساحات البناء المسجلة في نقابتي بيروت والشمال للأعوام</t>
    </r>
    <r>
      <rPr>
        <b/>
        <sz val="12"/>
        <rFont val="Arial"/>
        <family val="2"/>
      </rPr>
      <t xml:space="preserve"> </t>
    </r>
    <r>
      <rPr>
        <b/>
        <sz val="12"/>
        <rFont val="Cambria"/>
        <family val="1"/>
      </rPr>
      <t>2013 - 2014 - 2015</t>
    </r>
  </si>
  <si>
    <r>
      <t xml:space="preserve">جدول 22: توزيع أعداد معاملات البناء المسجلة والمنجزة بحسب النوع للعام </t>
    </r>
    <r>
      <rPr>
        <b/>
        <sz val="12"/>
        <rFont val="Times New Roman"/>
        <family val="1"/>
      </rPr>
      <t>2015</t>
    </r>
  </si>
  <si>
    <t>جدول 23: توزيع أعداد معاملات رخص البناء المسجلة والمنجزة بحسب النوع للعام 2015</t>
  </si>
  <si>
    <t>جدول 24: توزيع أعداد معاملات التصريح المسجلة والمنجزة بحسب النوع للعام 2015</t>
  </si>
  <si>
    <r>
      <t xml:space="preserve">       جدول 25: توزيع مساحات معاملات رخص الأبنية الجديدة والإضافات حسب وجهة الاستعمال لسنة </t>
    </r>
    <r>
      <rPr>
        <b/>
        <sz val="12"/>
        <rFont val="Times New Roman"/>
        <family val="1"/>
      </rPr>
      <t>2015</t>
    </r>
  </si>
  <si>
    <r>
      <t xml:space="preserve">جدول 26: توزيع مساحات رخص الأبنية الجديدة والإضافات بحسب وجهة الاستعمال على المحافظات للعام </t>
    </r>
    <r>
      <rPr>
        <b/>
        <sz val="12"/>
        <rFont val="Times New Roman"/>
        <family val="1"/>
      </rPr>
      <t>2015</t>
    </r>
  </si>
  <si>
    <r>
      <t xml:space="preserve">  جدول 27:  توزيع أعداد معاملات أمر المباشرة بالتنفيذ المسجلة والمنجزة للأعوام  </t>
    </r>
    <r>
      <rPr>
        <b/>
        <sz val="12"/>
        <rFont val="Times New Roman"/>
        <family val="1"/>
      </rPr>
      <t>2013</t>
    </r>
    <r>
      <rPr>
        <b/>
        <sz val="12"/>
        <rFont val="Simplified Arabic"/>
        <family val="0"/>
      </rPr>
      <t xml:space="preserve"> و</t>
    </r>
    <r>
      <rPr>
        <b/>
        <sz val="12"/>
        <rFont val="Times New Roman"/>
        <family val="1"/>
      </rPr>
      <t>2014</t>
    </r>
    <r>
      <rPr>
        <b/>
        <sz val="12"/>
        <rFont val="Simplified Arabic"/>
        <family val="0"/>
      </rPr>
      <t xml:space="preserve"> و</t>
    </r>
    <r>
      <rPr>
        <b/>
        <sz val="12"/>
        <rFont val="Times New Roman"/>
        <family val="1"/>
      </rPr>
      <t>2015</t>
    </r>
  </si>
  <si>
    <t>جدول28: توزيع مساحات أعداد معاملات أمر المباشرة بالتنفيذ على المحافظات للأعوام  2013 و2014 و2015</t>
  </si>
  <si>
    <r>
      <t xml:space="preserve">جدول 29:  توزيع أعداد معاملات المساحة المسجلة والمنجزة بحسب النوع للعام </t>
    </r>
    <r>
      <rPr>
        <b/>
        <sz val="11"/>
        <color indexed="8"/>
        <rFont val="Times New Roman"/>
        <family val="1"/>
      </rPr>
      <t>2015</t>
    </r>
  </si>
  <si>
    <r>
      <t xml:space="preserve">جدول 30: مساحات العقارات المفرزة المسجلة والمنجزة بموجب المحافظة  للأعوام </t>
    </r>
    <r>
      <rPr>
        <b/>
        <sz val="11"/>
        <color indexed="8"/>
        <rFont val="Times New Roman"/>
        <family val="1"/>
      </rPr>
      <t>2013 - 2014 - 2015</t>
    </r>
  </si>
  <si>
    <t xml:space="preserve">  جدول 18: المساحات الإجمالية المسجّلة شهريا للسنوات 2013 - 2014 - 2015</t>
  </si>
  <si>
    <t xml:space="preserve">جدول 19: الأمتار المسجّلة والمنجزة شهريا" بموجب المحافظة من 2015/1/1 إلى 2015/12/31  </t>
  </si>
  <si>
    <t xml:space="preserve">جدول20:عدد المعاملات المسجّلة والمنجزة  شهريا" بموجب المحافظة من 2015/1/1 إلى 2015/12/31 </t>
  </si>
  <si>
    <t xml:space="preserve"> جدول 21: مقارنة مساحات البناء المسجلة في نقابتي بيروت والشمال للأعوام 2013 - 2014 - 2015</t>
  </si>
  <si>
    <t>جدول 22: توزيع أعداد معاملات البناء المسجلة والمنجزة بحسب النوع للعام 2015</t>
  </si>
  <si>
    <t>جدول 25: توزيع مساحات معاملات رخص الأبنية الجديدة والإضافات حسب وجهة الاستعمال لسنة 2015</t>
  </si>
  <si>
    <t>جدول 26: توزيع مساحات رخص الأبنية الجديدة والإضافات بحسب وجهة الاستعمال على المحافظات للعام 2015</t>
  </si>
  <si>
    <t>جدول 27:  توزيع أعداد معاملات أمر المباشرة بالتنفيذ المسجلة والمنجزة للأعوام  2013 و2014 و2015</t>
  </si>
  <si>
    <t>جدول 29:  توزيع أعداد معاملات المساحة المسجلة والمنجزة بحسب النوع للعام 2015</t>
  </si>
  <si>
    <t>جدول 30: مساحات العقارات المفرزة المسجلة والمنجزة بموجب المحافظة  للأعوام 2013 - 2014 - 2015</t>
  </si>
  <si>
    <t>صفحة : 7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</si>
</sst>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  <numFmt numFmtId="215" formatCode="#,##0_-"/>
  </numFmts>
  <fonts count="10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Simplified Arabic"/>
      <family val="0"/>
    </font>
    <font>
      <b/>
      <sz val="12"/>
      <name val="Cambria"/>
      <family val="1"/>
    </font>
    <font>
      <b/>
      <sz val="10"/>
      <name val="Arial"/>
      <family val="2"/>
    </font>
    <font>
      <sz val="11"/>
      <name val="Arial"/>
      <family val="2"/>
    </font>
    <font>
      <b/>
      <sz val="10"/>
      <name val="Simplified Arabic"/>
      <family val="0"/>
    </font>
    <font>
      <b/>
      <sz val="12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sz val="14"/>
      <name val="Arabic Transparent"/>
      <family val="0"/>
    </font>
    <font>
      <b/>
      <sz val="10"/>
      <name val="Cambria"/>
      <family val="1"/>
    </font>
    <font>
      <sz val="12"/>
      <name val="Arabic Transparent"/>
      <family val="0"/>
    </font>
    <font>
      <b/>
      <sz val="11"/>
      <name val="Simplified Arabic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Simplified Arabic"/>
      <family val="0"/>
    </font>
    <font>
      <sz val="12"/>
      <name val="Simplified Arabic"/>
      <family val="0"/>
    </font>
    <font>
      <b/>
      <sz val="10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implified Arabic"/>
      <family val="0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Simplified Arabic"/>
      <family val="0"/>
    </font>
    <font>
      <sz val="11"/>
      <color indexed="8"/>
      <name val="Cambria"/>
      <family val="1"/>
    </font>
    <font>
      <b/>
      <sz val="12"/>
      <color indexed="8"/>
      <name val="Simplified Arabic"/>
      <family val="0"/>
    </font>
    <font>
      <b/>
      <sz val="12"/>
      <color indexed="8"/>
      <name val="Cambria"/>
      <family val="1"/>
    </font>
    <font>
      <sz val="12"/>
      <color indexed="8"/>
      <name val="Simplified Arabic"/>
      <family val="0"/>
    </font>
    <font>
      <sz val="12"/>
      <color indexed="8"/>
      <name val="Times New Roman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color indexed="8"/>
      <name val="Simplified Arabic"/>
      <family val="0"/>
    </font>
    <font>
      <sz val="10"/>
      <color indexed="8"/>
      <name val="Simplified Arabic"/>
      <family val="0"/>
    </font>
    <font>
      <sz val="10"/>
      <name val="Cambria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implified Arabic"/>
      <family val="0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Simplified Arabic"/>
      <family val="0"/>
    </font>
    <font>
      <sz val="11"/>
      <color theme="1"/>
      <name val="Cambria"/>
      <family val="1"/>
    </font>
    <font>
      <b/>
      <sz val="12"/>
      <color theme="1"/>
      <name val="Simplified Arabic"/>
      <family val="0"/>
    </font>
    <font>
      <b/>
      <sz val="12"/>
      <color theme="1"/>
      <name val="Cambria"/>
      <family val="1"/>
    </font>
    <font>
      <sz val="12"/>
      <color theme="1"/>
      <name val="Simplified Arabic"/>
      <family val="0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b/>
      <sz val="10"/>
      <color theme="1"/>
      <name val="Simplified Arabic"/>
      <family val="0"/>
    </font>
    <font>
      <sz val="10"/>
      <color theme="1"/>
      <name val="Simplified Arabic"/>
      <family val="0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 diagonalUp="1">
      <left style="thin"/>
      <right style="thin"/>
      <top style="thin"/>
      <bottom style="thin"/>
      <diagonal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 diagonalUp="1">
      <left style="medium"/>
      <right style="medium"/>
      <top style="thin"/>
      <bottom/>
      <diagonal style="medium"/>
    </border>
    <border diagonalUp="1">
      <left style="medium"/>
      <right style="medium"/>
      <top/>
      <bottom style="medium"/>
      <diagonal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2" fillId="0" borderId="0" applyNumberFormat="0">
      <alignment horizontal="right"/>
      <protection/>
    </xf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1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Alignment="1">
      <alignment horizontal="right" vertical="center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6" fillId="0" borderId="11" xfId="62" applyFont="1" applyFill="1" applyBorder="1" applyAlignment="1">
      <alignment horizontal="center" vertical="center" wrapText="1" readingOrder="1"/>
      <protection/>
    </xf>
    <xf numFmtId="0" fontId="6" fillId="0" borderId="12" xfId="62" applyFont="1" applyFill="1" applyBorder="1" applyAlignment="1">
      <alignment horizontal="center" vertical="center" wrapText="1" readingOrder="1"/>
      <protection/>
    </xf>
    <xf numFmtId="0" fontId="10" fillId="0" borderId="0" xfId="0" applyFont="1" applyFill="1" applyAlignment="1">
      <alignment horizontal="right" vertical="center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6" fillId="0" borderId="0" xfId="62" applyFont="1" applyFill="1" applyBorder="1" applyAlignment="1">
      <alignment horizontal="left" vertical="center" wrapText="1" readingOrder="1"/>
      <protection/>
    </xf>
    <xf numFmtId="3" fontId="7" fillId="0" borderId="0" xfId="42" applyNumberFormat="1" applyFont="1" applyFill="1" applyBorder="1" applyAlignment="1">
      <alignment horizontal="right" vertical="center" readingOrder="1"/>
    </xf>
    <xf numFmtId="0" fontId="12" fillId="0" borderId="14" xfId="0" applyFont="1" applyFill="1" applyBorder="1" applyAlignment="1">
      <alignment horizontal="center" vertical="center" wrapText="1" readingOrder="1"/>
    </xf>
    <xf numFmtId="0" fontId="6" fillId="0" borderId="14" xfId="62" applyFont="1" applyFill="1" applyBorder="1" applyAlignment="1">
      <alignment horizontal="right" vertical="center" wrapText="1" readingOrder="1"/>
      <protection/>
    </xf>
    <xf numFmtId="3" fontId="7" fillId="33" borderId="14" xfId="42" applyNumberFormat="1" applyFont="1" applyFill="1" applyBorder="1" applyAlignment="1">
      <alignment horizontal="center" vertical="center" readingOrder="1"/>
    </xf>
    <xf numFmtId="3" fontId="7" fillId="0" borderId="14" xfId="42" applyNumberFormat="1" applyFont="1" applyFill="1" applyBorder="1" applyAlignment="1">
      <alignment horizontal="center" vertical="center" readingOrder="1"/>
    </xf>
    <xf numFmtId="3" fontId="13" fillId="0" borderId="14" xfId="0" applyNumberFormat="1" applyFont="1" applyFill="1" applyBorder="1" applyAlignment="1">
      <alignment horizontal="center" vertical="center" readingOrder="1"/>
    </xf>
    <xf numFmtId="0" fontId="5" fillId="0" borderId="14" xfId="0" applyFont="1" applyFill="1" applyBorder="1" applyAlignment="1">
      <alignment horizontal="center" vertical="center" readingOrder="1"/>
    </xf>
    <xf numFmtId="3" fontId="13" fillId="33" borderId="14" xfId="0" applyNumberFormat="1" applyFont="1" applyFill="1" applyBorder="1" applyAlignment="1">
      <alignment horizontal="center" vertical="center" readingOrder="1"/>
    </xf>
    <xf numFmtId="0" fontId="12" fillId="0" borderId="15" xfId="0" applyFont="1" applyFill="1" applyBorder="1" applyAlignment="1">
      <alignment horizontal="center" vertical="center" wrapText="1" readingOrder="1"/>
    </xf>
    <xf numFmtId="3" fontId="7" fillId="33" borderId="16" xfId="42" applyNumberFormat="1" applyFont="1" applyFill="1" applyBorder="1" applyAlignment="1">
      <alignment horizontal="center" vertical="center" readingOrder="1"/>
    </xf>
    <xf numFmtId="3" fontId="7" fillId="33" borderId="14" xfId="42" applyNumberFormat="1" applyFont="1" applyFill="1" applyBorder="1" applyAlignment="1">
      <alignment horizontal="center" vertical="center"/>
    </xf>
    <xf numFmtId="3" fontId="7" fillId="0" borderId="14" xfId="42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4" xfId="42" applyNumberFormat="1" applyFont="1" applyFill="1" applyBorder="1" applyAlignment="1">
      <alignment horizontal="center" vertical="center"/>
    </xf>
    <xf numFmtId="3" fontId="13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 readingOrder="1"/>
    </xf>
    <xf numFmtId="0" fontId="6" fillId="0" borderId="18" xfId="62" applyFont="1" applyFill="1" applyBorder="1" applyAlignment="1">
      <alignment horizontal="center" vertical="center" wrapText="1" readingOrder="1"/>
      <protection/>
    </xf>
    <xf numFmtId="3" fontId="7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4" xfId="62" applyFont="1" applyFill="1" applyBorder="1" applyAlignment="1">
      <alignment horizontal="center" vertical="center" wrapText="1" readingOrder="1"/>
      <protection/>
    </xf>
    <xf numFmtId="0" fontId="7" fillId="0" borderId="0" xfId="0" applyFont="1" applyAlignment="1">
      <alignment horizontal="center" vertical="center"/>
    </xf>
    <xf numFmtId="3" fontId="7" fillId="33" borderId="19" xfId="42" applyNumberFormat="1" applyFont="1" applyFill="1" applyBorder="1" applyAlignment="1">
      <alignment horizontal="center" vertical="center"/>
    </xf>
    <xf numFmtId="3" fontId="7" fillId="33" borderId="0" xfId="42" applyNumberFormat="1" applyFont="1" applyFill="1" applyBorder="1" applyAlignment="1">
      <alignment horizontal="center" vertical="center"/>
    </xf>
    <xf numFmtId="3" fontId="7" fillId="0" borderId="0" xfId="42" applyNumberFormat="1" applyFont="1" applyFill="1" applyBorder="1" applyAlignment="1">
      <alignment horizontal="center" vertical="center"/>
    </xf>
    <xf numFmtId="3" fontId="7" fillId="0" borderId="19" xfId="42" applyNumberFormat="1" applyFont="1" applyFill="1" applyBorder="1" applyAlignment="1">
      <alignment horizontal="center" vertical="center" readingOrder="1"/>
    </xf>
    <xf numFmtId="0" fontId="7" fillId="0" borderId="14" xfId="0" applyFont="1" applyFill="1" applyBorder="1" applyAlignment="1">
      <alignment horizontal="center" vertical="center" readingOrder="1"/>
    </xf>
    <xf numFmtId="0" fontId="89" fillId="0" borderId="14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2" fillId="0" borderId="14" xfId="0" applyFont="1" applyBorder="1" applyAlignment="1" quotePrefix="1">
      <alignment horizontal="center" vertical="center"/>
    </xf>
    <xf numFmtId="3" fontId="92" fillId="0" borderId="14" xfId="0" applyNumberFormat="1" applyFont="1" applyBorder="1" applyAlignment="1">
      <alignment horizontal="center" vertical="center"/>
    </xf>
    <xf numFmtId="0" fontId="89" fillId="34" borderId="14" xfId="0" applyFont="1" applyFill="1" applyBorder="1" applyAlignment="1">
      <alignment horizontal="center" vertical="center"/>
    </xf>
    <xf numFmtId="3" fontId="92" fillId="34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3" fontId="94" fillId="0" borderId="14" xfId="0" applyNumberFormat="1" applyFont="1" applyBorder="1" applyAlignment="1">
      <alignment horizontal="center" vertical="center"/>
    </xf>
    <xf numFmtId="3" fontId="94" fillId="36" borderId="14" xfId="0" applyNumberFormat="1" applyFont="1" applyFill="1" applyBorder="1" applyAlignment="1">
      <alignment horizontal="center" vertical="center"/>
    </xf>
    <xf numFmtId="0" fontId="20" fillId="0" borderId="0" xfId="58" applyFont="1" applyAlignment="1">
      <alignment vertical="center"/>
      <protection/>
    </xf>
    <xf numFmtId="0" fontId="21" fillId="0" borderId="0" xfId="58" applyFont="1" applyAlignment="1">
      <alignment vertical="center"/>
      <protection/>
    </xf>
    <xf numFmtId="0" fontId="22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95" fillId="0" borderId="0" xfId="0" applyFont="1" applyAlignment="1">
      <alignment horizontal="center" vertical="center"/>
    </xf>
    <xf numFmtId="0" fontId="19" fillId="0" borderId="14" xfId="58" applyFont="1" applyBorder="1" applyAlignment="1">
      <alignment horizontal="center" vertical="center"/>
      <protection/>
    </xf>
    <xf numFmtId="0" fontId="19" fillId="35" borderId="14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9" fillId="0" borderId="14" xfId="58" applyFont="1" applyFill="1" applyBorder="1" applyAlignment="1">
      <alignment horizontal="center" vertical="center"/>
      <protection/>
    </xf>
    <xf numFmtId="3" fontId="58" fillId="0" borderId="14" xfId="58" applyNumberFormat="1" applyFont="1" applyFill="1" applyBorder="1" applyAlignment="1">
      <alignment horizontal="center" vertical="center"/>
      <protection/>
    </xf>
    <xf numFmtId="3" fontId="59" fillId="35" borderId="14" xfId="58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6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3" fontId="58" fillId="0" borderId="14" xfId="0" applyNumberFormat="1" applyFont="1" applyFill="1" applyBorder="1" applyAlignment="1">
      <alignment horizontal="center" vertical="center"/>
    </xf>
    <xf numFmtId="0" fontId="97" fillId="0" borderId="14" xfId="0" applyFont="1" applyBorder="1" applyAlignment="1">
      <alignment horizontal="center"/>
    </xf>
    <xf numFmtId="3" fontId="59" fillId="35" borderId="14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98" fillId="0" borderId="14" xfId="0" applyFont="1" applyBorder="1" applyAlignment="1">
      <alignment horizontal="center" vertical="center"/>
    </xf>
    <xf numFmtId="0" fontId="99" fillId="0" borderId="14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3" fontId="100" fillId="0" borderId="14" xfId="0" applyNumberFormat="1" applyFont="1" applyBorder="1" applyAlignment="1">
      <alignment horizontal="center" vertical="center"/>
    </xf>
    <xf numFmtId="3" fontId="101" fillId="0" borderId="14" xfId="0" applyNumberFormat="1" applyFont="1" applyBorder="1" applyAlignment="1">
      <alignment horizontal="center" vertical="center"/>
    </xf>
    <xf numFmtId="215" fontId="101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3" fontId="66" fillId="0" borderId="14" xfId="0" applyNumberFormat="1" applyFont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3" fontId="16" fillId="35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3" fontId="66" fillId="0" borderId="14" xfId="0" applyNumberFormat="1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3" fontId="16" fillId="36" borderId="1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 readingOrder="1"/>
    </xf>
    <xf numFmtId="0" fontId="29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3" fontId="58" fillId="0" borderId="18" xfId="0" applyNumberFormat="1" applyFont="1" applyBorder="1" applyAlignment="1">
      <alignment horizontal="center" vertical="center"/>
    </xf>
    <xf numFmtId="10" fontId="97" fillId="0" borderId="14" xfId="0" applyNumberFormat="1" applyFont="1" applyBorder="1" applyAlignment="1">
      <alignment horizontal="center" vertical="center"/>
    </xf>
    <xf numFmtId="10" fontId="102" fillId="0" borderId="0" xfId="0" applyNumberFormat="1" applyFont="1" applyBorder="1" applyAlignment="1">
      <alignment horizontal="center" vertical="center"/>
    </xf>
    <xf numFmtId="9" fontId="97" fillId="0" borderId="14" xfId="0" applyNumberFormat="1" applyFont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 wrapText="1"/>
    </xf>
    <xf numFmtId="3" fontId="16" fillId="35" borderId="18" xfId="0" applyNumberFormat="1" applyFont="1" applyFill="1" applyBorder="1" applyAlignment="1">
      <alignment horizontal="center" vertical="center"/>
    </xf>
    <xf numFmtId="185" fontId="66" fillId="35" borderId="14" xfId="65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0" xfId="0" applyFont="1" applyAlignment="1">
      <alignment/>
    </xf>
    <xf numFmtId="3" fontId="19" fillId="0" borderId="21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185" fontId="5" fillId="0" borderId="25" xfId="65" applyNumberFormat="1" applyFont="1" applyBorder="1" applyAlignment="1">
      <alignment horizontal="center" vertical="center"/>
    </xf>
    <xf numFmtId="3" fontId="70" fillId="0" borderId="26" xfId="0" applyNumberFormat="1" applyFont="1" applyBorder="1" applyAlignment="1">
      <alignment horizontal="center" vertical="center"/>
    </xf>
    <xf numFmtId="185" fontId="70" fillId="0" borderId="25" xfId="65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185" fontId="5" fillId="0" borderId="27" xfId="65" applyNumberFormat="1" applyFont="1" applyBorder="1" applyAlignment="1">
      <alignment horizontal="center" vertical="center"/>
    </xf>
    <xf numFmtId="3" fontId="5" fillId="0" borderId="28" xfId="0" applyNumberFormat="1" applyFont="1" applyBorder="1" applyAlignment="1" quotePrefix="1">
      <alignment horizontal="center" vertical="center"/>
    </xf>
    <xf numFmtId="185" fontId="5" fillId="0" borderId="29" xfId="65" applyNumberFormat="1" applyFont="1" applyBorder="1" applyAlignment="1">
      <alignment horizontal="center" vertical="center"/>
    </xf>
    <xf numFmtId="3" fontId="5" fillId="0" borderId="24" xfId="0" applyNumberFormat="1" applyFont="1" applyBorder="1" applyAlignment="1" quotePrefix="1">
      <alignment horizontal="center" vertical="center"/>
    </xf>
    <xf numFmtId="3" fontId="31" fillId="34" borderId="30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85" fontId="5" fillId="0" borderId="31" xfId="65" applyNumberFormat="1" applyFont="1" applyBorder="1" applyAlignment="1">
      <alignment horizontal="center" vertical="center"/>
    </xf>
    <xf numFmtId="3" fontId="70" fillId="0" borderId="32" xfId="0" applyNumberFormat="1" applyFont="1" applyBorder="1" applyAlignment="1">
      <alignment horizontal="center" vertical="center"/>
    </xf>
    <xf numFmtId="185" fontId="70" fillId="0" borderId="31" xfId="65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185" fontId="5" fillId="0" borderId="18" xfId="65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185" fontId="5" fillId="0" borderId="34" xfId="65" applyNumberFormat="1" applyFont="1" applyBorder="1" applyAlignment="1">
      <alignment horizontal="center" vertical="center"/>
    </xf>
    <xf numFmtId="3" fontId="31" fillId="34" borderId="35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 quotePrefix="1">
      <alignment horizontal="center" vertical="center"/>
    </xf>
    <xf numFmtId="3" fontId="5" fillId="0" borderId="33" xfId="0" applyNumberFormat="1" applyFont="1" applyBorder="1" applyAlignment="1" quotePrefix="1">
      <alignment horizontal="center" vertical="center"/>
    </xf>
    <xf numFmtId="185" fontId="5" fillId="0" borderId="34" xfId="65" applyNumberFormat="1" applyFont="1" applyBorder="1" applyAlignment="1" quotePrefix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185" fontId="5" fillId="0" borderId="37" xfId="65" applyNumberFormat="1" applyFont="1" applyBorder="1" applyAlignment="1">
      <alignment horizontal="center" vertical="center"/>
    </xf>
    <xf numFmtId="3" fontId="70" fillId="0" borderId="38" xfId="0" applyNumberFormat="1" applyFont="1" applyBorder="1" applyAlignment="1">
      <alignment horizontal="center" vertical="center"/>
    </xf>
    <xf numFmtId="185" fontId="70" fillId="0" borderId="37" xfId="65" applyNumberFormat="1" applyFont="1" applyBorder="1" applyAlignment="1">
      <alignment horizontal="center" vertical="center"/>
    </xf>
    <xf numFmtId="3" fontId="5" fillId="0" borderId="38" xfId="0" applyNumberFormat="1" applyFont="1" applyBorder="1" applyAlignment="1" quotePrefix="1">
      <alignment horizontal="center" vertical="center"/>
    </xf>
    <xf numFmtId="185" fontId="5" fillId="0" borderId="39" xfId="65" applyNumberFormat="1" applyFont="1" applyBorder="1" applyAlignment="1">
      <alignment horizontal="center" vertical="center"/>
    </xf>
    <xf numFmtId="3" fontId="5" fillId="0" borderId="40" xfId="0" applyNumberFormat="1" applyFont="1" applyBorder="1" applyAlignment="1" quotePrefix="1">
      <alignment horizontal="center" vertical="center"/>
    </xf>
    <xf numFmtId="185" fontId="5" fillId="0" borderId="41" xfId="65" applyNumberFormat="1" applyFont="1" applyBorder="1" applyAlignment="1">
      <alignment horizontal="center" vertical="center"/>
    </xf>
    <xf numFmtId="185" fontId="5" fillId="0" borderId="42" xfId="65" applyNumberFormat="1" applyFont="1" applyBorder="1" applyAlignment="1">
      <alignment horizontal="center" vertical="center"/>
    </xf>
    <xf numFmtId="3" fontId="31" fillId="34" borderId="43" xfId="0" applyNumberFormat="1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3" fontId="70" fillId="0" borderId="46" xfId="0" applyNumberFormat="1" applyFont="1" applyBorder="1" applyAlignment="1">
      <alignment horizontal="center" vertical="center"/>
    </xf>
    <xf numFmtId="9" fontId="70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44" xfId="65" applyNumberFormat="1" applyFont="1" applyBorder="1" applyAlignment="1">
      <alignment horizontal="center" vertical="center"/>
    </xf>
    <xf numFmtId="3" fontId="31" fillId="34" borderId="5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readingOrder="2"/>
    </xf>
    <xf numFmtId="0" fontId="28" fillId="0" borderId="0" xfId="0" applyFont="1" applyAlignment="1">
      <alignment/>
    </xf>
    <xf numFmtId="0" fontId="1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102" fillId="0" borderId="14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98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6" fillId="0" borderId="14" xfId="0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0" fontId="101" fillId="0" borderId="14" xfId="0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3" fontId="27" fillId="35" borderId="14" xfId="0" applyNumberFormat="1" applyFont="1" applyFill="1" applyBorder="1" applyAlignment="1">
      <alignment horizontal="center" vertical="center"/>
    </xf>
    <xf numFmtId="3" fontId="27" fillId="36" borderId="14" xfId="0" applyNumberFormat="1" applyFont="1" applyFill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0" fillId="34" borderId="14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51" xfId="0" applyFont="1" applyBorder="1" applyAlignment="1">
      <alignment horizontal="center" vertical="center" wrapText="1" readingOrder="1"/>
    </xf>
    <xf numFmtId="0" fontId="9" fillId="0" borderId="23" xfId="0" applyFont="1" applyBorder="1" applyAlignment="1">
      <alignment horizontal="center" vertical="center" wrapText="1" readingOrder="1"/>
    </xf>
    <xf numFmtId="0" fontId="10" fillId="0" borderId="0" xfId="0" applyFont="1" applyFill="1" applyAlignment="1">
      <alignment horizontal="left" vertical="center" readingOrder="1"/>
    </xf>
    <xf numFmtId="0" fontId="5" fillId="0" borderId="0" xfId="0" applyFont="1" applyFill="1" applyBorder="1" applyAlignment="1">
      <alignment horizontal="right" vertical="top" wrapText="1" readingOrder="1"/>
    </xf>
    <xf numFmtId="0" fontId="5" fillId="0" borderId="0" xfId="0" applyFont="1" applyFill="1" applyBorder="1" applyAlignment="1">
      <alignment horizontal="right" vertical="top" readingOrder="1"/>
    </xf>
    <xf numFmtId="0" fontId="10" fillId="0" borderId="0" xfId="0" applyFont="1" applyFill="1" applyAlignment="1">
      <alignment horizontal="right" vertical="center" readingOrder="1"/>
    </xf>
    <xf numFmtId="0" fontId="0" fillId="0" borderId="0" xfId="0" applyAlignment="1">
      <alignment horizontal="right"/>
    </xf>
    <xf numFmtId="0" fontId="89" fillId="0" borderId="0" xfId="0" applyFont="1" applyAlignment="1">
      <alignment horizontal="right" vertical="center"/>
    </xf>
    <xf numFmtId="0" fontId="19" fillId="0" borderId="52" xfId="0" applyFont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/>
    </xf>
    <xf numFmtId="0" fontId="104" fillId="34" borderId="5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readingOrder="2"/>
    </xf>
    <xf numFmtId="0" fontId="98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 readingOrder="1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3" fontId="19" fillId="0" borderId="56" xfId="0" applyNumberFormat="1" applyFont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20" fillId="0" borderId="0" xfId="58" applyFont="1" applyAlignment="1">
      <alignment horizontal="right" vertical="center"/>
      <protection/>
    </xf>
    <xf numFmtId="0" fontId="2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57" xfId="58" applyFont="1" applyBorder="1" applyAlignment="1">
      <alignment horizontal="center" vertical="center" wrapText="1"/>
      <protection/>
    </xf>
    <xf numFmtId="0" fontId="98" fillId="0" borderId="57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/>
    </xf>
    <xf numFmtId="3" fontId="101" fillId="0" borderId="0" xfId="0" applyNumberFormat="1" applyFont="1" applyBorder="1" applyAlignment="1">
      <alignment horizontal="center" vertical="center"/>
    </xf>
    <xf numFmtId="185" fontId="10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9" fillId="34" borderId="58" xfId="0" applyFont="1" applyFill="1" applyBorder="1" applyAlignment="1">
      <alignment horizontal="center" vertical="center" wrapText="1"/>
    </xf>
    <xf numFmtId="0" fontId="29" fillId="0" borderId="59" xfId="0" applyFont="1" applyBorder="1" applyAlignment="1">
      <alignment horizontal="right" vertical="center" wrapText="1"/>
    </xf>
    <xf numFmtId="0" fontId="29" fillId="0" borderId="6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3" fontId="10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readingOrder="2"/>
    </xf>
    <xf numFmtId="0" fontId="98" fillId="0" borderId="0" xfId="0" applyFont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105" fillId="0" borderId="61" xfId="0" applyFont="1" applyBorder="1" applyAlignment="1">
      <alignment horizontal="right" vertical="center" wrapText="1"/>
    </xf>
    <xf numFmtId="0" fontId="105" fillId="0" borderId="62" xfId="0" applyFont="1" applyBorder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5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1:L66"/>
  <sheetViews>
    <sheetView rightToLeft="1" tabSelected="1" zoomScalePageLayoutView="0" workbookViewId="0" topLeftCell="A1">
      <selection activeCell="M44" sqref="M44"/>
    </sheetView>
  </sheetViews>
  <sheetFormatPr defaultColWidth="9.140625" defaultRowHeight="12.75"/>
  <cols>
    <col min="1" max="11" width="9.140625" style="12" customWidth="1"/>
    <col min="12" max="15" width="9.140625" style="11" customWidth="1"/>
    <col min="16" max="16384" width="9.140625" style="12" customWidth="1"/>
  </cols>
  <sheetData>
    <row r="1" spans="2:12" ht="67.5" customHeight="1" thickBot="1">
      <c r="B1" s="187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9"/>
    </row>
    <row r="6" spans="2:12" ht="12.75">
      <c r="B6" s="12" t="s">
        <v>35</v>
      </c>
      <c r="L6" s="11" t="s">
        <v>19</v>
      </c>
    </row>
    <row r="8" spans="2:12" ht="12.75">
      <c r="B8" s="12" t="s">
        <v>36</v>
      </c>
      <c r="L8" s="11" t="s">
        <v>19</v>
      </c>
    </row>
    <row r="10" spans="2:12" ht="12.75">
      <c r="B10" s="12" t="s">
        <v>37</v>
      </c>
      <c r="L10" s="11" t="s">
        <v>19</v>
      </c>
    </row>
    <row r="12" spans="2:12" ht="12.75">
      <c r="B12" s="12" t="s">
        <v>38</v>
      </c>
      <c r="L12" s="11" t="s">
        <v>19</v>
      </c>
    </row>
    <row r="13" ht="12.75">
      <c r="K13" s="13"/>
    </row>
    <row r="14" spans="2:12" ht="12.75">
      <c r="B14" s="12" t="s">
        <v>39</v>
      </c>
      <c r="L14" s="11" t="s">
        <v>58</v>
      </c>
    </row>
    <row r="16" spans="2:12" ht="12.75">
      <c r="B16" s="12" t="s">
        <v>40</v>
      </c>
      <c r="L16" s="11" t="s">
        <v>58</v>
      </c>
    </row>
    <row r="18" spans="2:12" ht="12.75">
      <c r="B18" s="12" t="s">
        <v>41</v>
      </c>
      <c r="L18" s="11" t="s">
        <v>58</v>
      </c>
    </row>
    <row r="20" spans="2:12" ht="12.75">
      <c r="B20" s="12" t="s">
        <v>42</v>
      </c>
      <c r="L20" s="11" t="s">
        <v>58</v>
      </c>
    </row>
    <row r="22" spans="2:12" ht="12.75">
      <c r="B22" s="12" t="s">
        <v>43</v>
      </c>
      <c r="L22" s="11" t="s">
        <v>59</v>
      </c>
    </row>
    <row r="24" spans="2:12" ht="12.75">
      <c r="B24" s="12" t="s">
        <v>44</v>
      </c>
      <c r="L24" s="11" t="s">
        <v>59</v>
      </c>
    </row>
    <row r="26" spans="2:12" ht="12.75">
      <c r="B26" s="12" t="s">
        <v>45</v>
      </c>
      <c r="L26" s="11" t="s">
        <v>59</v>
      </c>
    </row>
    <row r="28" spans="2:12" ht="12.75">
      <c r="B28" s="12" t="s">
        <v>46</v>
      </c>
      <c r="L28" s="11" t="s">
        <v>60</v>
      </c>
    </row>
    <row r="30" spans="2:12" ht="12.75">
      <c r="B30" s="12" t="s">
        <v>47</v>
      </c>
      <c r="L30" s="11" t="s">
        <v>60</v>
      </c>
    </row>
    <row r="32" spans="2:12" ht="12.75">
      <c r="B32" s="12" t="s">
        <v>48</v>
      </c>
      <c r="L32" s="11" t="s">
        <v>60</v>
      </c>
    </row>
    <row r="34" spans="2:12" ht="12.75">
      <c r="B34" s="12" t="s">
        <v>49</v>
      </c>
      <c r="L34" s="11" t="s">
        <v>60</v>
      </c>
    </row>
    <row r="36" spans="2:12" ht="12.75">
      <c r="B36" s="12" t="s">
        <v>61</v>
      </c>
      <c r="L36" s="11" t="s">
        <v>20</v>
      </c>
    </row>
    <row r="38" spans="2:12" ht="12.75">
      <c r="B38" s="12" t="s">
        <v>62</v>
      </c>
      <c r="L38" s="11" t="s">
        <v>20</v>
      </c>
    </row>
    <row r="40" spans="2:12" ht="12.75">
      <c r="B40" s="12" t="s">
        <v>163</v>
      </c>
      <c r="L40" s="11" t="s">
        <v>187</v>
      </c>
    </row>
    <row r="42" spans="2:12" ht="12.75">
      <c r="B42" s="12" t="s">
        <v>177</v>
      </c>
      <c r="L42" s="11" t="s">
        <v>187</v>
      </c>
    </row>
    <row r="44" spans="2:12" ht="12.75">
      <c r="B44" s="12" t="s">
        <v>178</v>
      </c>
      <c r="L44" s="11" t="s">
        <v>187</v>
      </c>
    </row>
    <row r="46" spans="2:12" ht="12.75">
      <c r="B46" s="12" t="s">
        <v>179</v>
      </c>
      <c r="L46" s="11" t="s">
        <v>187</v>
      </c>
    </row>
    <row r="48" spans="2:12" ht="12.75">
      <c r="B48" s="12" t="s">
        <v>180</v>
      </c>
      <c r="L48" s="11" t="s">
        <v>187</v>
      </c>
    </row>
    <row r="50" spans="2:12" ht="12.75">
      <c r="B50" s="12" t="s">
        <v>181</v>
      </c>
      <c r="L50" s="11" t="s">
        <v>187</v>
      </c>
    </row>
    <row r="52" spans="2:12" ht="12.75">
      <c r="B52" s="12" t="s">
        <v>169</v>
      </c>
      <c r="L52" s="11" t="s">
        <v>187</v>
      </c>
    </row>
    <row r="54" spans="2:12" ht="12.75">
      <c r="B54" s="12" t="s">
        <v>170</v>
      </c>
      <c r="L54" s="11" t="s">
        <v>187</v>
      </c>
    </row>
    <row r="56" spans="2:12" ht="12.75">
      <c r="B56" s="12" t="s">
        <v>182</v>
      </c>
      <c r="L56" s="11" t="s">
        <v>187</v>
      </c>
    </row>
    <row r="58" spans="2:12" ht="12.75">
      <c r="B58" s="12" t="s">
        <v>183</v>
      </c>
      <c r="L58" s="11" t="s">
        <v>187</v>
      </c>
    </row>
    <row r="60" spans="2:12" ht="12.75">
      <c r="B60" s="12" t="s">
        <v>184</v>
      </c>
      <c r="L60" s="11" t="s">
        <v>187</v>
      </c>
    </row>
    <row r="62" spans="2:12" ht="12.75">
      <c r="B62" s="12" t="s">
        <v>174</v>
      </c>
      <c r="L62" s="11" t="s">
        <v>187</v>
      </c>
    </row>
    <row r="64" spans="2:12" ht="12.75">
      <c r="B64" s="12" t="s">
        <v>185</v>
      </c>
      <c r="L64" s="11" t="s">
        <v>187</v>
      </c>
    </row>
    <row r="66" spans="2:12" ht="12.75">
      <c r="B66" s="12" t="s">
        <v>186</v>
      </c>
      <c r="L66" s="11" t="s">
        <v>187</v>
      </c>
    </row>
  </sheetData>
  <sheetProtection/>
  <mergeCells count="1">
    <mergeCell ref="B1:L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65"/>
  <sheetViews>
    <sheetView rightToLeft="1" workbookViewId="0" topLeftCell="A1">
      <selection activeCell="L60" sqref="L60"/>
    </sheetView>
  </sheetViews>
  <sheetFormatPr defaultColWidth="9.140625" defaultRowHeight="12.75"/>
  <cols>
    <col min="1" max="1" width="3.421875" style="0" customWidth="1"/>
    <col min="2" max="2" width="22.140625" style="0" customWidth="1"/>
    <col min="3" max="10" width="9.28125" style="0" bestFit="1" customWidth="1"/>
    <col min="11" max="11" width="12.421875" style="0" customWidth="1"/>
    <col min="12" max="12" width="9.28125" style="0" bestFit="1" customWidth="1"/>
    <col min="13" max="13" width="10.28125" style="0" bestFit="1" customWidth="1"/>
    <col min="14" max="14" width="9.28125" style="0" bestFit="1" customWidth="1"/>
    <col min="15" max="15" width="9.7109375" style="0" bestFit="1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193" t="s">
        <v>35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s="1" customFormat="1" ht="15" customHeight="1">
      <c r="A3" s="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15" customHeight="1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74.25" customHeight="1">
      <c r="A5" s="3"/>
      <c r="B5" s="17" t="s">
        <v>25</v>
      </c>
      <c r="C5" s="20" t="s">
        <v>16</v>
      </c>
      <c r="D5" s="20" t="s">
        <v>17</v>
      </c>
      <c r="E5" s="20" t="s">
        <v>18</v>
      </c>
      <c r="F5" s="20" t="s">
        <v>21</v>
      </c>
      <c r="G5" s="20" t="s">
        <v>26</v>
      </c>
      <c r="H5" s="20" t="s">
        <v>27</v>
      </c>
      <c r="I5" s="20" t="s">
        <v>28</v>
      </c>
      <c r="J5" s="20" t="s">
        <v>29</v>
      </c>
      <c r="K5" s="20" t="s">
        <v>30</v>
      </c>
      <c r="L5" s="20" t="s">
        <v>31</v>
      </c>
      <c r="M5" s="20" t="s">
        <v>32</v>
      </c>
      <c r="N5" s="20" t="s">
        <v>33</v>
      </c>
      <c r="O5" s="20" t="s">
        <v>34</v>
      </c>
    </row>
    <row r="6" spans="1:15" s="7" customFormat="1" ht="22.5">
      <c r="A6"/>
      <c r="B6" s="21" t="s">
        <v>1</v>
      </c>
      <c r="C6" s="22">
        <f>54+187+13</f>
        <v>254</v>
      </c>
      <c r="D6" s="23">
        <f>48+236+21</f>
        <v>305</v>
      </c>
      <c r="E6" s="23">
        <f>82+311+1+1+20+1</f>
        <v>416</v>
      </c>
      <c r="F6" s="23">
        <f>61+290+1+23</f>
        <v>375</v>
      </c>
      <c r="G6" s="23">
        <f>82+319+1+12</f>
        <v>414</v>
      </c>
      <c r="H6" s="23">
        <f>104+360+35+1</f>
        <v>500</v>
      </c>
      <c r="I6" s="23">
        <f>296+1+1+3+22+72</f>
        <v>395</v>
      </c>
      <c r="J6" s="23">
        <f>66+314+12</f>
        <v>392</v>
      </c>
      <c r="K6" s="23">
        <f>67+0+340+1+0+1+9+0</f>
        <v>418</v>
      </c>
      <c r="L6" s="23">
        <f>72+0+304+9+0+3+16+0</f>
        <v>404</v>
      </c>
      <c r="M6" s="23">
        <f>79+0+349+1+1+2+14+0</f>
        <v>446</v>
      </c>
      <c r="N6" s="23">
        <f>114+0+605+1+0+1+20+0</f>
        <v>741</v>
      </c>
      <c r="O6" s="24">
        <f aca="true" t="shared" si="0" ref="O6:O30">SUM(C6:N6)</f>
        <v>5060</v>
      </c>
    </row>
    <row r="7" spans="1:15" s="5" customFormat="1" ht="22.5">
      <c r="A7"/>
      <c r="B7" s="21" t="s">
        <v>2</v>
      </c>
      <c r="C7" s="22">
        <f>123+746+1+23+1</f>
        <v>894</v>
      </c>
      <c r="D7" s="23">
        <f>86+1+771+1+1+21+1</f>
        <v>882</v>
      </c>
      <c r="E7" s="23">
        <f>180+1161+2+42+0</f>
        <v>1385</v>
      </c>
      <c r="F7" s="23">
        <f>157+2+967+2+4+4+24+1</f>
        <v>1161</v>
      </c>
      <c r="G7" s="23">
        <f>140+2+1078+1+1+33+1</f>
        <v>1256</v>
      </c>
      <c r="H7" s="23">
        <f>115+1176+1+2+23+1</f>
        <v>1318</v>
      </c>
      <c r="I7" s="23">
        <f>149+1140+1+2+3+34+1</f>
        <v>1330</v>
      </c>
      <c r="J7" s="23">
        <f>143+1215+6+37</f>
        <v>1401</v>
      </c>
      <c r="K7" s="29">
        <f>163+0+1140+1+0+2+30+0</f>
        <v>1336</v>
      </c>
      <c r="L7" s="23">
        <f>136+0+1196+2+0+3+34+0</f>
        <v>1371</v>
      </c>
      <c r="M7" s="23">
        <f>125+0+1092+1+3+0+37+0</f>
        <v>1258</v>
      </c>
      <c r="N7" s="23">
        <f>185+0+1409+2+6+3+41+0</f>
        <v>1646</v>
      </c>
      <c r="O7" s="24">
        <f t="shared" si="0"/>
        <v>15238</v>
      </c>
    </row>
    <row r="8" spans="1:15" s="5" customFormat="1" ht="22.5">
      <c r="A8"/>
      <c r="B8" s="21" t="s">
        <v>3</v>
      </c>
      <c r="C8" s="22">
        <v>481</v>
      </c>
      <c r="D8" s="23">
        <f>55+444+4+3+6</f>
        <v>512</v>
      </c>
      <c r="E8" s="23">
        <f>54+556+3+10</f>
        <v>623</v>
      </c>
      <c r="F8" s="23">
        <f>51+545+6+23</f>
        <v>625</v>
      </c>
      <c r="G8" s="23">
        <f>51+616+2+5+18</f>
        <v>692</v>
      </c>
      <c r="H8" s="23">
        <f>58+673+2+7+13</f>
        <v>753</v>
      </c>
      <c r="I8" s="23">
        <f>62+583+1+1+18</f>
        <v>665</v>
      </c>
      <c r="J8" s="23">
        <f>65+39+675+1+6+11</f>
        <v>797</v>
      </c>
      <c r="K8" s="23">
        <f>62+0+603+0+1+4+13+0</f>
        <v>683</v>
      </c>
      <c r="L8" s="23">
        <f>65+0+694+1+0+1+12+0</f>
        <v>773</v>
      </c>
      <c r="M8" s="23">
        <f>74+0+67+0+1+7+20+1</f>
        <v>170</v>
      </c>
      <c r="N8" s="23">
        <f>53+0+750+2+0+5+15+1</f>
        <v>826</v>
      </c>
      <c r="O8" s="24">
        <f t="shared" si="0"/>
        <v>7600</v>
      </c>
    </row>
    <row r="9" spans="1:15" s="5" customFormat="1" ht="22.5">
      <c r="A9"/>
      <c r="B9" s="21" t="s">
        <v>4</v>
      </c>
      <c r="C9" s="22">
        <f>49+402+1+1+20</f>
        <v>473</v>
      </c>
      <c r="D9" s="23">
        <f>89+530+1+18</f>
        <v>638</v>
      </c>
      <c r="E9" s="23">
        <f>82+1+636+1+1+6+15+0</f>
        <v>742</v>
      </c>
      <c r="F9" s="23">
        <f>73+1+578+16+1</f>
        <v>669</v>
      </c>
      <c r="G9" s="23">
        <f>77+1+635+2+20</f>
        <v>735</v>
      </c>
      <c r="H9" s="23">
        <f>111+3+681+2+22</f>
        <v>819</v>
      </c>
      <c r="I9" s="23">
        <f>97+660+1+12</f>
        <v>770</v>
      </c>
      <c r="J9" s="23">
        <f>60+641+18</f>
        <v>719</v>
      </c>
      <c r="K9" s="23">
        <f>74+0+600+0+0+1+22+0</f>
        <v>697</v>
      </c>
      <c r="L9" s="23">
        <f>84+0+699+2+0+0+20+1</f>
        <v>806</v>
      </c>
      <c r="M9" s="23">
        <f>87+0+746+0+2+1+23</f>
        <v>859</v>
      </c>
      <c r="N9" s="23">
        <f>119+0+820+0+1+0+20+4</f>
        <v>964</v>
      </c>
      <c r="O9" s="24">
        <f t="shared" si="0"/>
        <v>8891</v>
      </c>
    </row>
    <row r="10" spans="1:15" s="5" customFormat="1" ht="22.5">
      <c r="A10"/>
      <c r="B10" s="21" t="s">
        <v>5</v>
      </c>
      <c r="C10" s="22">
        <f>67+329+4</f>
        <v>400</v>
      </c>
      <c r="D10" s="23">
        <f>66+1+338+3+7</f>
        <v>415</v>
      </c>
      <c r="E10" s="23">
        <f>87+407+3+12</f>
        <v>509</v>
      </c>
      <c r="F10" s="23">
        <f>84+1+374+1+11</f>
        <v>471</v>
      </c>
      <c r="G10" s="23">
        <f>82+1+447+2+11</f>
        <v>543</v>
      </c>
      <c r="H10" s="23">
        <f>102+3+406+1+1+6</f>
        <v>519</v>
      </c>
      <c r="I10" s="23">
        <f>64+372+1+10</f>
        <v>447</v>
      </c>
      <c r="J10" s="23">
        <f>91+507+1+12</f>
        <v>611</v>
      </c>
      <c r="K10" s="23">
        <f>56+0+321+0+2+1+4+0</f>
        <v>384</v>
      </c>
      <c r="L10" s="23">
        <f>100+0+410+0+0+0+4+0</f>
        <v>514</v>
      </c>
      <c r="M10" s="23">
        <f>86+1+428+0+0+6+6+0</f>
        <v>527</v>
      </c>
      <c r="N10" s="23">
        <f>95+0+454+0+0+1+5+0</f>
        <v>555</v>
      </c>
      <c r="O10" s="24">
        <f t="shared" si="0"/>
        <v>5895</v>
      </c>
    </row>
    <row r="11" spans="1:15" s="5" customFormat="1" ht="22.5">
      <c r="A11"/>
      <c r="B11" s="21" t="s">
        <v>6</v>
      </c>
      <c r="C11" s="22">
        <f>67+361+1+2</f>
        <v>431</v>
      </c>
      <c r="D11" s="23">
        <f>71+392+5+1</f>
        <v>469</v>
      </c>
      <c r="E11" s="23">
        <f>87+502+6+5</f>
        <v>600</v>
      </c>
      <c r="F11" s="23">
        <f>79+431+1+9+3+1</f>
        <v>524</v>
      </c>
      <c r="G11" s="23">
        <f>63+450+2+1+10+1</f>
        <v>527</v>
      </c>
      <c r="H11" s="23">
        <f>127+452+1+9+1+1</f>
        <v>591</v>
      </c>
      <c r="I11" s="25">
        <f>84+473+1+10+1</f>
        <v>569</v>
      </c>
      <c r="J11" s="23">
        <f>109+504+9+6+1</f>
        <v>629</v>
      </c>
      <c r="K11" s="23">
        <f>66+0+507+0+0+3+0+0</f>
        <v>576</v>
      </c>
      <c r="L11" s="23">
        <f>99+0+537+0+1+3+1+2</f>
        <v>643</v>
      </c>
      <c r="M11" s="23">
        <f>104+0+451+0+0+6+0+2</f>
        <v>563</v>
      </c>
      <c r="N11" s="30">
        <f>118+0+480+0+0+8+4+2</f>
        <v>612</v>
      </c>
      <c r="O11" s="24">
        <f>SUM(C11:N11)</f>
        <v>6734</v>
      </c>
    </row>
    <row r="12" spans="1:15" s="5" customFormat="1" ht="22.5">
      <c r="A12"/>
      <c r="B12" s="21" t="s">
        <v>7</v>
      </c>
      <c r="C12" s="22">
        <f>53+1+299+1+3</f>
        <v>357</v>
      </c>
      <c r="D12" s="23">
        <f>67+2+404+2+2</f>
        <v>477</v>
      </c>
      <c r="E12" s="23">
        <f>96+2+654+1+3+6</f>
        <v>762</v>
      </c>
      <c r="F12" s="23">
        <f>86+1+601+1+8+1</f>
        <v>698</v>
      </c>
      <c r="G12" s="23">
        <f>86+7+626+1+28+11</f>
        <v>759</v>
      </c>
      <c r="H12" s="23">
        <f>80+17+650+1+8</f>
        <v>756</v>
      </c>
      <c r="I12" s="23">
        <f>88+2+598+4+11+1</f>
        <v>704</v>
      </c>
      <c r="J12" s="23">
        <f>108+5+832+5+15</f>
        <v>965</v>
      </c>
      <c r="K12" s="23">
        <f>103+0+693+1+0+1+5+0</f>
        <v>803</v>
      </c>
      <c r="L12" s="23">
        <f>95+1+662+0+0+0+4+0</f>
        <v>762</v>
      </c>
      <c r="M12" s="23">
        <f>99+6+592+0+0+2+11+0</f>
        <v>710</v>
      </c>
      <c r="N12" s="23">
        <f>128+1+816+0+0+7+10+0</f>
        <v>962</v>
      </c>
      <c r="O12" s="24">
        <f t="shared" si="0"/>
        <v>8715</v>
      </c>
    </row>
    <row r="13" spans="1:15" s="5" customFormat="1" ht="22.5">
      <c r="A13"/>
      <c r="B13" s="21" t="s">
        <v>8</v>
      </c>
      <c r="C13" s="22">
        <f>29+359+16</f>
        <v>404</v>
      </c>
      <c r="D13" s="23">
        <f>52+356+16+1</f>
        <v>425</v>
      </c>
      <c r="E13" s="23">
        <f>61+526+1+15</f>
        <v>603</v>
      </c>
      <c r="F13" s="23">
        <f>52+494+10</f>
        <v>556</v>
      </c>
      <c r="G13" s="23">
        <f>65+507+2+12</f>
        <v>586</v>
      </c>
      <c r="H13" s="23">
        <f>66+541+1+16+1</f>
        <v>625</v>
      </c>
      <c r="I13" s="23">
        <f>58+468+1+9</f>
        <v>536</v>
      </c>
      <c r="J13" s="23">
        <f>58+587+15</f>
        <v>660</v>
      </c>
      <c r="K13" s="23">
        <f>60+0+592+0+0+0+16+0</f>
        <v>668</v>
      </c>
      <c r="L13" s="23">
        <f>81+0+605+0+4+0+11+0</f>
        <v>701</v>
      </c>
      <c r="M13" s="23">
        <f>72+0+581+0+1+0+15+0</f>
        <v>669</v>
      </c>
      <c r="N13" s="23">
        <f>92+0+653+0+0+0+20+1</f>
        <v>766</v>
      </c>
      <c r="O13" s="24">
        <f t="shared" si="0"/>
        <v>7199</v>
      </c>
    </row>
    <row r="14" spans="1:15" s="5" customFormat="1" ht="22.5">
      <c r="A14"/>
      <c r="B14" s="21" t="s">
        <v>9</v>
      </c>
      <c r="C14" s="22">
        <f>38+334</f>
        <v>372</v>
      </c>
      <c r="D14" s="23">
        <f>60+400+2</f>
        <v>462</v>
      </c>
      <c r="E14" s="23">
        <f>53+461+1</f>
        <v>515</v>
      </c>
      <c r="F14" s="23">
        <f>53+435+1+2+2</f>
        <v>493</v>
      </c>
      <c r="G14" s="23">
        <f>61+466</f>
        <v>527</v>
      </c>
      <c r="H14" s="23">
        <f>45+489+1</f>
        <v>535</v>
      </c>
      <c r="I14" s="23">
        <f>57+347+1+2</f>
        <v>407</v>
      </c>
      <c r="J14" s="23">
        <f>60+536+1</f>
        <v>597</v>
      </c>
      <c r="K14" s="23">
        <f>54+0+509+0+0+0+5+0</f>
        <v>568</v>
      </c>
      <c r="L14" s="23">
        <f>60+0+523+0+1+0+3+0</f>
        <v>587</v>
      </c>
      <c r="M14" s="23">
        <f>69+0+517+0+0+0+1+0</f>
        <v>587</v>
      </c>
      <c r="N14" s="23">
        <f>66+0+587+0+0+0+0+0</f>
        <v>653</v>
      </c>
      <c r="O14" s="24">
        <f t="shared" si="0"/>
        <v>6303</v>
      </c>
    </row>
    <row r="15" spans="1:15" s="5" customFormat="1" ht="22.5">
      <c r="A15"/>
      <c r="B15" s="21" t="s">
        <v>22</v>
      </c>
      <c r="C15" s="22">
        <f>SUM(C6:C14)</f>
        <v>4066</v>
      </c>
      <c r="D15" s="23">
        <f aca="true" t="shared" si="1" ref="D15:O15">SUM(D6:D14)</f>
        <v>4585</v>
      </c>
      <c r="E15" s="23">
        <f t="shared" si="1"/>
        <v>6155</v>
      </c>
      <c r="F15" s="23">
        <f t="shared" si="1"/>
        <v>5572</v>
      </c>
      <c r="G15" s="23">
        <f t="shared" si="1"/>
        <v>6039</v>
      </c>
      <c r="H15" s="23">
        <f t="shared" si="1"/>
        <v>6416</v>
      </c>
      <c r="I15" s="23">
        <f t="shared" si="1"/>
        <v>5823</v>
      </c>
      <c r="J15" s="23">
        <f t="shared" si="1"/>
        <v>6771</v>
      </c>
      <c r="K15" s="23">
        <f t="shared" si="1"/>
        <v>6133</v>
      </c>
      <c r="L15" s="23">
        <f t="shared" si="1"/>
        <v>6561</v>
      </c>
      <c r="M15" s="23">
        <f t="shared" si="1"/>
        <v>5789</v>
      </c>
      <c r="N15" s="23">
        <f t="shared" si="1"/>
        <v>7725</v>
      </c>
      <c r="O15" s="23">
        <f t="shared" si="1"/>
        <v>71635</v>
      </c>
    </row>
    <row r="16" spans="1:15" s="2" customFormat="1" ht="12.75">
      <c r="A16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2" customFormat="1" ht="14.25">
      <c r="A17"/>
      <c r="B17" s="193" t="s">
        <v>36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2" customFormat="1" ht="14.25">
      <c r="A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2" customFormat="1" ht="14.25">
      <c r="A19"/>
      <c r="B19" s="16" t="s">
        <v>23</v>
      </c>
      <c r="C19" s="16"/>
      <c r="D19" s="16"/>
      <c r="E19" s="16"/>
      <c r="F19" s="190" t="s">
        <v>24</v>
      </c>
      <c r="G19" s="190"/>
      <c r="H19" s="190"/>
      <c r="I19" s="16"/>
      <c r="J19" s="16"/>
      <c r="K19" s="16"/>
      <c r="L19" s="16"/>
      <c r="M19" s="16"/>
      <c r="N19" s="16"/>
      <c r="O19" s="16"/>
    </row>
    <row r="20" spans="1:15" s="2" customFormat="1" ht="12.75">
      <c r="A20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5" customFormat="1" ht="45" customHeight="1">
      <c r="A21"/>
      <c r="B21" s="17" t="s">
        <v>25</v>
      </c>
      <c r="C21" s="20" t="s">
        <v>16</v>
      </c>
      <c r="D21" s="20" t="s">
        <v>17</v>
      </c>
      <c r="E21" s="20" t="s">
        <v>18</v>
      </c>
      <c r="F21" s="20" t="s">
        <v>21</v>
      </c>
      <c r="G21" s="20" t="s">
        <v>26</v>
      </c>
      <c r="H21" s="20" t="s">
        <v>27</v>
      </c>
      <c r="I21" s="20" t="s">
        <v>28</v>
      </c>
      <c r="J21" s="20" t="s">
        <v>29</v>
      </c>
      <c r="K21" s="20" t="s">
        <v>30</v>
      </c>
      <c r="L21" s="20" t="s">
        <v>31</v>
      </c>
      <c r="M21" s="20" t="s">
        <v>32</v>
      </c>
      <c r="N21" s="20" t="s">
        <v>33</v>
      </c>
      <c r="O21" s="20" t="s">
        <v>34</v>
      </c>
    </row>
    <row r="22" spans="1:15" s="5" customFormat="1" ht="22.5">
      <c r="A22"/>
      <c r="B22" s="21" t="s">
        <v>1</v>
      </c>
      <c r="C22" s="22">
        <v>266641</v>
      </c>
      <c r="D22" s="22">
        <v>164716</v>
      </c>
      <c r="E22" s="22">
        <v>211102</v>
      </c>
      <c r="F22" s="22">
        <v>233454</v>
      </c>
      <c r="G22" s="22">
        <v>218756</v>
      </c>
      <c r="H22" s="22">
        <v>235809</v>
      </c>
      <c r="I22" s="22">
        <v>394021</v>
      </c>
      <c r="J22" s="22">
        <v>20980</v>
      </c>
      <c r="K22" s="22">
        <v>232992</v>
      </c>
      <c r="L22" s="22">
        <v>222747</v>
      </c>
      <c r="M22" s="22">
        <v>244619</v>
      </c>
      <c r="N22" s="22">
        <v>371270</v>
      </c>
      <c r="O22" s="26">
        <f t="shared" si="0"/>
        <v>2817107</v>
      </c>
    </row>
    <row r="23" spans="1:15" s="5" customFormat="1" ht="22.5">
      <c r="A23"/>
      <c r="B23" s="21" t="s">
        <v>10</v>
      </c>
      <c r="C23" s="22">
        <v>152301</v>
      </c>
      <c r="D23" s="22">
        <v>160490</v>
      </c>
      <c r="E23" s="22">
        <v>205810</v>
      </c>
      <c r="F23" s="22">
        <v>200686</v>
      </c>
      <c r="G23" s="22">
        <v>226018</v>
      </c>
      <c r="H23" s="22">
        <v>233177</v>
      </c>
      <c r="I23" s="22">
        <v>225512</v>
      </c>
      <c r="J23" s="22">
        <v>247245</v>
      </c>
      <c r="K23" s="22">
        <v>269964</v>
      </c>
      <c r="L23" s="22">
        <v>210770</v>
      </c>
      <c r="M23" s="22">
        <v>205539</v>
      </c>
      <c r="N23" s="22">
        <v>321302</v>
      </c>
      <c r="O23" s="26">
        <f t="shared" si="0"/>
        <v>2658814</v>
      </c>
    </row>
    <row r="24" spans="1:15" s="5" customFormat="1" ht="22.5">
      <c r="A24"/>
      <c r="B24" s="21" t="s">
        <v>11</v>
      </c>
      <c r="C24" s="22">
        <v>82792</v>
      </c>
      <c r="D24" s="22">
        <v>79493</v>
      </c>
      <c r="E24" s="22">
        <v>107413</v>
      </c>
      <c r="F24" s="22">
        <v>125460</v>
      </c>
      <c r="G24" s="22">
        <v>147168</v>
      </c>
      <c r="H24" s="22">
        <v>157722</v>
      </c>
      <c r="I24" s="22">
        <v>120439</v>
      </c>
      <c r="J24" s="22">
        <v>128261</v>
      </c>
      <c r="K24" s="22">
        <v>141926</v>
      </c>
      <c r="L24" s="22">
        <v>171997</v>
      </c>
      <c r="M24" s="22">
        <v>106886</v>
      </c>
      <c r="N24" s="22">
        <v>145920</v>
      </c>
      <c r="O24" s="26">
        <f t="shared" si="0"/>
        <v>1515477</v>
      </c>
    </row>
    <row r="25" spans="1:15" s="1" customFormat="1" ht="22.5">
      <c r="A25"/>
      <c r="B25" s="21" t="s">
        <v>12</v>
      </c>
      <c r="C25" s="22">
        <v>129527</v>
      </c>
      <c r="D25" s="22">
        <v>172435</v>
      </c>
      <c r="E25" s="22">
        <v>209159</v>
      </c>
      <c r="F25" s="22">
        <v>186683</v>
      </c>
      <c r="G25" s="22">
        <v>211667</v>
      </c>
      <c r="H25" s="22">
        <v>193698</v>
      </c>
      <c r="I25" s="22">
        <v>228519</v>
      </c>
      <c r="J25" s="22">
        <v>214058</v>
      </c>
      <c r="K25" s="22">
        <v>179138</v>
      </c>
      <c r="L25" s="22">
        <f>184781</f>
        <v>184781</v>
      </c>
      <c r="M25" s="22">
        <v>188198</v>
      </c>
      <c r="N25" s="22">
        <v>265413</v>
      </c>
      <c r="O25" s="26">
        <f t="shared" si="0"/>
        <v>2363276</v>
      </c>
    </row>
    <row r="26" spans="1:15" s="1" customFormat="1" ht="22.5">
      <c r="A26"/>
      <c r="B26" s="21" t="s">
        <v>5</v>
      </c>
      <c r="C26" s="22">
        <v>33171</v>
      </c>
      <c r="D26" s="22">
        <v>25535</v>
      </c>
      <c r="E26" s="22">
        <v>26992</v>
      </c>
      <c r="F26" s="22">
        <v>23727</v>
      </c>
      <c r="G26" s="22">
        <v>36065</v>
      </c>
      <c r="H26" s="22">
        <v>27172</v>
      </c>
      <c r="I26" s="22">
        <v>33856</v>
      </c>
      <c r="J26" s="22">
        <v>32350</v>
      </c>
      <c r="K26" s="22">
        <v>34319</v>
      </c>
      <c r="L26" s="22">
        <v>36330</v>
      </c>
      <c r="M26" s="23">
        <v>36712</v>
      </c>
      <c r="N26" s="22">
        <v>32538</v>
      </c>
      <c r="O26" s="26">
        <f t="shared" si="0"/>
        <v>378767</v>
      </c>
    </row>
    <row r="27" spans="1:15" s="1" customFormat="1" ht="22.5">
      <c r="A27"/>
      <c r="B27" s="21" t="s">
        <v>6</v>
      </c>
      <c r="C27" s="22">
        <v>30278</v>
      </c>
      <c r="D27" s="22">
        <v>28428</v>
      </c>
      <c r="E27" s="22">
        <v>38966</v>
      </c>
      <c r="F27" s="22">
        <v>35330</v>
      </c>
      <c r="G27" s="22">
        <v>41022</v>
      </c>
      <c r="H27" s="22">
        <v>42198</v>
      </c>
      <c r="I27" s="22">
        <v>45938</v>
      </c>
      <c r="J27" s="22">
        <v>44512</v>
      </c>
      <c r="K27" s="22">
        <v>35292</v>
      </c>
      <c r="L27" s="22">
        <v>51317</v>
      </c>
      <c r="M27" s="22">
        <v>35650</v>
      </c>
      <c r="N27" s="30">
        <v>39201</v>
      </c>
      <c r="O27" s="26">
        <f>SUM(C27:N27)</f>
        <v>468132</v>
      </c>
    </row>
    <row r="28" spans="1:15" s="1" customFormat="1" ht="22.5">
      <c r="A28"/>
      <c r="B28" s="21" t="s">
        <v>13</v>
      </c>
      <c r="C28" s="22">
        <v>22714</v>
      </c>
      <c r="D28" s="22">
        <v>21658</v>
      </c>
      <c r="E28" s="22">
        <v>38100</v>
      </c>
      <c r="F28" s="22">
        <v>28487</v>
      </c>
      <c r="G28" s="22">
        <v>33424</v>
      </c>
      <c r="H28" s="22">
        <v>38146</v>
      </c>
      <c r="I28" s="22">
        <v>46859</v>
      </c>
      <c r="J28" s="22">
        <v>45480</v>
      </c>
      <c r="K28" s="22">
        <v>42696</v>
      </c>
      <c r="L28" s="22">
        <v>33738</v>
      </c>
      <c r="M28" s="22">
        <v>32772</v>
      </c>
      <c r="N28" s="22">
        <v>51427</v>
      </c>
      <c r="O28" s="26">
        <f t="shared" si="0"/>
        <v>435501</v>
      </c>
    </row>
    <row r="29" spans="1:15" s="1" customFormat="1" ht="22.5">
      <c r="A29"/>
      <c r="B29" s="21" t="s">
        <v>15</v>
      </c>
      <c r="C29" s="22">
        <v>40451</v>
      </c>
      <c r="D29" s="22">
        <v>39600</v>
      </c>
      <c r="E29" s="22">
        <v>58224</v>
      </c>
      <c r="F29" s="22">
        <v>63193</v>
      </c>
      <c r="G29" s="22">
        <v>54100</v>
      </c>
      <c r="H29" s="22">
        <v>51985</v>
      </c>
      <c r="I29" s="22">
        <v>45622</v>
      </c>
      <c r="J29" s="22">
        <v>74197</v>
      </c>
      <c r="K29" s="22">
        <v>77416</v>
      </c>
      <c r="L29" s="22">
        <v>94378</v>
      </c>
      <c r="M29" s="22">
        <v>761425</v>
      </c>
      <c r="N29" s="22">
        <v>71103</v>
      </c>
      <c r="O29" s="26">
        <f t="shared" si="0"/>
        <v>1431694</v>
      </c>
    </row>
    <row r="30" spans="1:15" s="1" customFormat="1" ht="22.5">
      <c r="A30"/>
      <c r="B30" s="21" t="s">
        <v>14</v>
      </c>
      <c r="C30" s="22">
        <v>23225</v>
      </c>
      <c r="D30" s="22">
        <v>24817</v>
      </c>
      <c r="E30" s="22">
        <v>35227</v>
      </c>
      <c r="F30" s="22">
        <v>27743</v>
      </c>
      <c r="G30" s="22">
        <v>33041</v>
      </c>
      <c r="H30" s="22">
        <v>32973</v>
      </c>
      <c r="I30" s="22">
        <v>31107</v>
      </c>
      <c r="J30" s="22">
        <v>34821</v>
      </c>
      <c r="K30" s="22">
        <v>45819</v>
      </c>
      <c r="L30" s="22">
        <v>33238</v>
      </c>
      <c r="M30" s="22">
        <v>36559</v>
      </c>
      <c r="N30" s="22">
        <v>50686</v>
      </c>
      <c r="O30" s="26">
        <f t="shared" si="0"/>
        <v>409256</v>
      </c>
    </row>
    <row r="31" spans="1:15" s="1" customFormat="1" ht="22.5">
      <c r="A31"/>
      <c r="B31" s="21" t="s">
        <v>22</v>
      </c>
      <c r="C31" s="22">
        <f>SUM(C22:C30)</f>
        <v>781100</v>
      </c>
      <c r="D31" s="22">
        <f aca="true" t="shared" si="2" ref="D31:O31">SUM(D22:D30)</f>
        <v>717172</v>
      </c>
      <c r="E31" s="22">
        <f t="shared" si="2"/>
        <v>930993</v>
      </c>
      <c r="F31" s="22">
        <f t="shared" si="2"/>
        <v>924763</v>
      </c>
      <c r="G31" s="22">
        <f t="shared" si="2"/>
        <v>1001261</v>
      </c>
      <c r="H31" s="22">
        <f t="shared" si="2"/>
        <v>1012880</v>
      </c>
      <c r="I31" s="22">
        <f t="shared" si="2"/>
        <v>1171873</v>
      </c>
      <c r="J31" s="22">
        <f t="shared" si="2"/>
        <v>841904</v>
      </c>
      <c r="K31" s="22">
        <f t="shared" si="2"/>
        <v>1059562</v>
      </c>
      <c r="L31" s="22">
        <f t="shared" si="2"/>
        <v>1039296</v>
      </c>
      <c r="M31" s="22">
        <f t="shared" si="2"/>
        <v>1648360</v>
      </c>
      <c r="N31" s="22">
        <f t="shared" si="2"/>
        <v>1348860</v>
      </c>
      <c r="O31" s="22">
        <f t="shared" si="2"/>
        <v>12478024</v>
      </c>
    </row>
    <row r="33" spans="2:15" ht="12.7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14.25">
      <c r="B34" s="193" t="s">
        <v>37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</row>
    <row r="35" spans="2:15" ht="14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4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ht="25.5">
      <c r="B37" s="17" t="s">
        <v>25</v>
      </c>
      <c r="C37" s="27" t="s">
        <v>16</v>
      </c>
      <c r="D37" s="27" t="s">
        <v>17</v>
      </c>
      <c r="E37" s="27" t="s">
        <v>18</v>
      </c>
      <c r="F37" s="27" t="s">
        <v>21</v>
      </c>
      <c r="G37" s="27" t="s">
        <v>26</v>
      </c>
      <c r="H37" s="27" t="s">
        <v>27</v>
      </c>
      <c r="I37" s="27" t="s">
        <v>28</v>
      </c>
      <c r="J37" s="27" t="s">
        <v>29</v>
      </c>
      <c r="K37" s="27" t="s">
        <v>30</v>
      </c>
      <c r="L37" s="27" t="s">
        <v>31</v>
      </c>
      <c r="M37" s="27" t="s">
        <v>32</v>
      </c>
      <c r="N37" s="27" t="s">
        <v>33</v>
      </c>
      <c r="O37" s="27" t="s">
        <v>34</v>
      </c>
    </row>
    <row r="38" spans="2:15" ht="22.5">
      <c r="B38" s="21" t="s">
        <v>1</v>
      </c>
      <c r="C38" s="22">
        <v>66</v>
      </c>
      <c r="D38" s="22">
        <v>65</v>
      </c>
      <c r="E38" s="22">
        <v>64</v>
      </c>
      <c r="F38" s="29">
        <v>70</v>
      </c>
      <c r="G38" s="22">
        <v>67</v>
      </c>
      <c r="H38" s="22">
        <f>89+9</f>
        <v>98</v>
      </c>
      <c r="I38" s="22">
        <f>89+2+20</f>
        <v>111</v>
      </c>
      <c r="J38" s="22">
        <f>77+13</f>
        <v>90</v>
      </c>
      <c r="K38" s="22">
        <f>94+0+2</f>
        <v>96</v>
      </c>
      <c r="L38" s="22">
        <f>57+0+0</f>
        <v>57</v>
      </c>
      <c r="M38" s="22">
        <f>74+0+4</f>
        <v>78</v>
      </c>
      <c r="N38" s="22">
        <f>104+1+10</f>
        <v>115</v>
      </c>
      <c r="O38" s="26">
        <f aca="true" t="shared" si="3" ref="O38:O46">SUM(C38:N38)</f>
        <v>977</v>
      </c>
    </row>
    <row r="39" spans="2:15" ht="22.5">
      <c r="B39" s="21" t="s">
        <v>2</v>
      </c>
      <c r="C39" s="22">
        <f>250</f>
        <v>250</v>
      </c>
      <c r="D39" s="22">
        <v>268</v>
      </c>
      <c r="E39" s="22">
        <v>347</v>
      </c>
      <c r="F39" s="29">
        <v>330</v>
      </c>
      <c r="G39" s="22">
        <v>337</v>
      </c>
      <c r="H39" s="22">
        <f>418+15</f>
        <v>433</v>
      </c>
      <c r="I39" s="22">
        <f>437+29</f>
        <v>466</v>
      </c>
      <c r="J39" s="22">
        <f>427+4</f>
        <v>431</v>
      </c>
      <c r="K39" s="40">
        <f>388+0+7</f>
        <v>395</v>
      </c>
      <c r="L39" s="22">
        <f>427+0+2</f>
        <v>429</v>
      </c>
      <c r="M39" s="22">
        <f>378+0+1</f>
        <v>379</v>
      </c>
      <c r="N39" s="22">
        <f>428+0+18</f>
        <v>446</v>
      </c>
      <c r="O39" s="26">
        <f t="shared" si="3"/>
        <v>4511</v>
      </c>
    </row>
    <row r="40" spans="2:15" ht="22.5">
      <c r="B40" s="21" t="s">
        <v>3</v>
      </c>
      <c r="C40" s="22">
        <v>133</v>
      </c>
      <c r="D40" s="22">
        <v>135</v>
      </c>
      <c r="E40" s="22">
        <v>130</v>
      </c>
      <c r="F40" s="29">
        <v>150</v>
      </c>
      <c r="G40" s="22">
        <v>176</v>
      </c>
      <c r="H40" s="22">
        <f>226+13</f>
        <v>239</v>
      </c>
      <c r="I40" s="22">
        <f>210+13</f>
        <v>223</v>
      </c>
      <c r="J40" s="22">
        <f>216+6</f>
        <v>222</v>
      </c>
      <c r="K40" s="22">
        <f>177+0+11</f>
        <v>188</v>
      </c>
      <c r="L40" s="22">
        <f>204+0+8</f>
        <v>212</v>
      </c>
      <c r="M40" s="22">
        <f>183+0+19</f>
        <v>202</v>
      </c>
      <c r="N40" s="22">
        <f>190+0+9</f>
        <v>199</v>
      </c>
      <c r="O40" s="26">
        <f t="shared" si="3"/>
        <v>2209</v>
      </c>
    </row>
    <row r="41" spans="2:15" ht="22.5">
      <c r="B41" s="21" t="s">
        <v>4</v>
      </c>
      <c r="C41" s="22">
        <v>176</v>
      </c>
      <c r="D41" s="22">
        <v>203</v>
      </c>
      <c r="E41" s="22">
        <v>235</v>
      </c>
      <c r="F41" s="29">
        <v>208</v>
      </c>
      <c r="G41" s="22">
        <v>261</v>
      </c>
      <c r="H41" s="22">
        <f>259+22</f>
        <v>281</v>
      </c>
      <c r="I41" s="22">
        <f>262+22</f>
        <v>284</v>
      </c>
      <c r="J41" s="22">
        <f>262+13</f>
        <v>275</v>
      </c>
      <c r="K41" s="22">
        <f>226+0+12</f>
        <v>238</v>
      </c>
      <c r="L41" s="22">
        <f>242+0+6</f>
        <v>248</v>
      </c>
      <c r="M41" s="22">
        <f>242+0+19</f>
        <v>261</v>
      </c>
      <c r="N41" s="22">
        <f>257+0+10</f>
        <v>267</v>
      </c>
      <c r="O41" s="26">
        <f t="shared" si="3"/>
        <v>2937</v>
      </c>
    </row>
    <row r="42" spans="2:15" ht="22.5">
      <c r="B42" s="21" t="s">
        <v>5</v>
      </c>
      <c r="C42" s="22">
        <v>38</v>
      </c>
      <c r="D42" s="22">
        <v>40</v>
      </c>
      <c r="E42" s="22">
        <v>51</v>
      </c>
      <c r="F42" s="29">
        <v>62</v>
      </c>
      <c r="G42" s="22">
        <f>58</f>
        <v>58</v>
      </c>
      <c r="H42" s="22">
        <f>84</f>
        <v>84</v>
      </c>
      <c r="I42" s="22">
        <f>67+1</f>
        <v>68</v>
      </c>
      <c r="J42" s="22">
        <f>86+1</f>
        <v>87</v>
      </c>
      <c r="K42" s="22">
        <f>67+0+1</f>
        <v>68</v>
      </c>
      <c r="L42" s="22">
        <f>92+0+0</f>
        <v>92</v>
      </c>
      <c r="M42" s="22">
        <f>86+0+0</f>
        <v>86</v>
      </c>
      <c r="N42" s="22">
        <f>66+0+1</f>
        <v>67</v>
      </c>
      <c r="O42" s="26">
        <f t="shared" si="3"/>
        <v>801</v>
      </c>
    </row>
    <row r="43" spans="2:15" ht="22.5">
      <c r="B43" s="21" t="s">
        <v>6</v>
      </c>
      <c r="C43" s="22">
        <v>62</v>
      </c>
      <c r="D43" s="22">
        <v>57</v>
      </c>
      <c r="E43" s="22">
        <v>72</v>
      </c>
      <c r="F43" s="29">
        <v>70</v>
      </c>
      <c r="G43" s="22">
        <v>68</v>
      </c>
      <c r="H43" s="22">
        <f>80+1</f>
        <v>81</v>
      </c>
      <c r="I43" s="22">
        <f>61+1</f>
        <v>62</v>
      </c>
      <c r="J43" s="22">
        <f>73+3</f>
        <v>76</v>
      </c>
      <c r="K43" s="22">
        <f>78+0+0</f>
        <v>78</v>
      </c>
      <c r="L43" s="22">
        <f>97+0+0</f>
        <v>97</v>
      </c>
      <c r="M43" s="22">
        <f>83+0+1</f>
        <v>84</v>
      </c>
      <c r="N43" s="22">
        <f>80+0+3</f>
        <v>83</v>
      </c>
      <c r="O43" s="26">
        <f t="shared" si="3"/>
        <v>890</v>
      </c>
    </row>
    <row r="44" spans="2:15" ht="22.5">
      <c r="B44" s="21" t="s">
        <v>7</v>
      </c>
      <c r="C44" s="22">
        <v>45</v>
      </c>
      <c r="D44" s="22">
        <v>46</v>
      </c>
      <c r="E44" s="22">
        <v>70</v>
      </c>
      <c r="F44" s="29">
        <v>58</v>
      </c>
      <c r="G44" s="22">
        <f>61</f>
        <v>61</v>
      </c>
      <c r="H44" s="22">
        <f>69+9</f>
        <v>78</v>
      </c>
      <c r="I44" s="22">
        <f>76+7</f>
        <v>83</v>
      </c>
      <c r="J44" s="22">
        <f>80+1</f>
        <v>81</v>
      </c>
      <c r="K44" s="22">
        <f>83+0+7</f>
        <v>90</v>
      </c>
      <c r="L44" s="22">
        <f>92+0+7</f>
        <v>99</v>
      </c>
      <c r="M44" s="22">
        <f>85+0+23</f>
        <v>108</v>
      </c>
      <c r="N44" s="22">
        <f>87+0+6</f>
        <v>93</v>
      </c>
      <c r="O44" s="26">
        <f t="shared" si="3"/>
        <v>912</v>
      </c>
    </row>
    <row r="45" spans="2:15" ht="22.5">
      <c r="B45" s="21" t="s">
        <v>8</v>
      </c>
      <c r="C45" s="22">
        <v>63</v>
      </c>
      <c r="D45" s="22">
        <v>57</v>
      </c>
      <c r="E45" s="22">
        <v>92</v>
      </c>
      <c r="F45" s="29">
        <v>63</v>
      </c>
      <c r="G45" s="22">
        <v>76</v>
      </c>
      <c r="H45" s="22">
        <f>99+3</f>
        <v>102</v>
      </c>
      <c r="I45" s="22">
        <f>76+7</f>
        <v>83</v>
      </c>
      <c r="J45" s="22">
        <f>81+1</f>
        <v>82</v>
      </c>
      <c r="K45" s="22">
        <f>104+0+6</f>
        <v>110</v>
      </c>
      <c r="L45" s="22">
        <f>75+0+3</f>
        <v>78</v>
      </c>
      <c r="M45" s="22">
        <f>78+0+10</f>
        <v>88</v>
      </c>
      <c r="N45" s="22">
        <f>73+0+7</f>
        <v>80</v>
      </c>
      <c r="O45" s="26">
        <f t="shared" si="3"/>
        <v>974</v>
      </c>
    </row>
    <row r="46" spans="2:15" ht="22.5">
      <c r="B46" s="21" t="s">
        <v>9</v>
      </c>
      <c r="C46" s="22">
        <v>47</v>
      </c>
      <c r="D46" s="22">
        <v>39</v>
      </c>
      <c r="E46" s="22">
        <v>67</v>
      </c>
      <c r="F46" s="29">
        <v>50</v>
      </c>
      <c r="G46" s="22">
        <f>70+6</f>
        <v>76</v>
      </c>
      <c r="H46" s="22">
        <f>76+3</f>
        <v>79</v>
      </c>
      <c r="I46" s="22">
        <f>71+12</f>
        <v>83</v>
      </c>
      <c r="J46" s="22">
        <f>60+4</f>
        <v>64</v>
      </c>
      <c r="K46" s="22">
        <f>79+0+13</f>
        <v>92</v>
      </c>
      <c r="L46" s="22">
        <f>75+0+4</f>
        <v>79</v>
      </c>
      <c r="M46" s="22">
        <f>74+0+16</f>
        <v>90</v>
      </c>
      <c r="N46" s="22">
        <f>83+0+5</f>
        <v>88</v>
      </c>
      <c r="O46" s="26">
        <f t="shared" si="3"/>
        <v>854</v>
      </c>
    </row>
    <row r="47" spans="2:15" ht="22.5">
      <c r="B47" s="21" t="s">
        <v>22</v>
      </c>
      <c r="C47" s="22">
        <f>SUM(C38:C46)</f>
        <v>880</v>
      </c>
      <c r="D47" s="22">
        <f aca="true" t="shared" si="4" ref="D47:O47">SUM(D38:D46)</f>
        <v>910</v>
      </c>
      <c r="E47" s="22">
        <f t="shared" si="4"/>
        <v>1128</v>
      </c>
      <c r="F47" s="22">
        <f t="shared" si="4"/>
        <v>1061</v>
      </c>
      <c r="G47" s="22">
        <f t="shared" si="4"/>
        <v>1180</v>
      </c>
      <c r="H47" s="22">
        <f t="shared" si="4"/>
        <v>1475</v>
      </c>
      <c r="I47" s="22">
        <f t="shared" si="4"/>
        <v>1463</v>
      </c>
      <c r="J47" s="22">
        <f t="shared" si="4"/>
        <v>1408</v>
      </c>
      <c r="K47" s="22">
        <f t="shared" si="4"/>
        <v>1355</v>
      </c>
      <c r="L47" s="22">
        <f t="shared" si="4"/>
        <v>1391</v>
      </c>
      <c r="M47" s="22">
        <f t="shared" si="4"/>
        <v>1376</v>
      </c>
      <c r="N47" s="22">
        <f t="shared" si="4"/>
        <v>1438</v>
      </c>
      <c r="O47" s="22">
        <f t="shared" si="4"/>
        <v>15065</v>
      </c>
    </row>
    <row r="48" spans="2:15" ht="12.7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14.25">
      <c r="B49" s="193" t="s">
        <v>38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</row>
    <row r="50" spans="2:15" ht="14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4.25">
      <c r="B51" s="16" t="s">
        <v>23</v>
      </c>
      <c r="C51" s="16"/>
      <c r="D51" s="16"/>
      <c r="E51" s="16"/>
      <c r="F51" s="190" t="s">
        <v>24</v>
      </c>
      <c r="G51" s="190"/>
      <c r="H51" s="190"/>
      <c r="I51" s="16"/>
      <c r="J51" s="16"/>
      <c r="K51" s="16"/>
      <c r="L51" s="16"/>
      <c r="M51" s="16"/>
      <c r="N51" s="16"/>
      <c r="O51" s="16"/>
    </row>
    <row r="52" spans="2:15" ht="12.7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25.5">
      <c r="B53" s="17" t="s">
        <v>25</v>
      </c>
      <c r="C53" s="27" t="s">
        <v>16</v>
      </c>
      <c r="D53" s="27" t="s">
        <v>17</v>
      </c>
      <c r="E53" s="27" t="s">
        <v>18</v>
      </c>
      <c r="F53" s="27" t="s">
        <v>21</v>
      </c>
      <c r="G53" s="27" t="s">
        <v>26</v>
      </c>
      <c r="H53" s="27" t="s">
        <v>27</v>
      </c>
      <c r="I53" s="27" t="s">
        <v>28</v>
      </c>
      <c r="J53" s="27" t="s">
        <v>29</v>
      </c>
      <c r="K53" s="27" t="s">
        <v>30</v>
      </c>
      <c r="L53" s="27" t="s">
        <v>31</v>
      </c>
      <c r="M53" s="27" t="s">
        <v>32</v>
      </c>
      <c r="N53" s="27" t="s">
        <v>33</v>
      </c>
      <c r="O53" s="27" t="s">
        <v>34</v>
      </c>
    </row>
    <row r="54" spans="2:15" ht="22.5">
      <c r="B54" s="21" t="s">
        <v>1</v>
      </c>
      <c r="C54" s="23">
        <v>145319</v>
      </c>
      <c r="D54" s="23">
        <v>96285</v>
      </c>
      <c r="E54" s="23">
        <v>55211</v>
      </c>
      <c r="F54" s="23">
        <v>76905</v>
      </c>
      <c r="G54" s="23">
        <v>78603</v>
      </c>
      <c r="H54" s="23">
        <v>104952</v>
      </c>
      <c r="I54" s="23">
        <v>131826</v>
      </c>
      <c r="J54" s="23">
        <v>52293</v>
      </c>
      <c r="K54" s="23">
        <v>55432</v>
      </c>
      <c r="L54" s="23">
        <v>75934</v>
      </c>
      <c r="M54" s="23">
        <v>81669</v>
      </c>
      <c r="N54" s="23">
        <v>171372</v>
      </c>
      <c r="O54" s="24">
        <f aca="true" t="shared" si="5" ref="O54:O62">SUM(C54:N54)</f>
        <v>1125801</v>
      </c>
    </row>
    <row r="55" spans="2:15" ht="22.5">
      <c r="B55" s="21" t="s">
        <v>10</v>
      </c>
      <c r="C55" s="23">
        <v>84354</v>
      </c>
      <c r="D55" s="23">
        <v>84594</v>
      </c>
      <c r="E55" s="23">
        <v>95251</v>
      </c>
      <c r="F55" s="23">
        <v>94252</v>
      </c>
      <c r="G55" s="23">
        <v>98766</v>
      </c>
      <c r="H55" s="23">
        <v>143831</v>
      </c>
      <c r="I55" s="23">
        <v>151976</v>
      </c>
      <c r="J55" s="23">
        <v>139151</v>
      </c>
      <c r="K55" s="23">
        <v>107592</v>
      </c>
      <c r="L55" s="23">
        <v>124352</v>
      </c>
      <c r="M55" s="23">
        <v>126128</v>
      </c>
      <c r="N55" s="23">
        <v>148854</v>
      </c>
      <c r="O55" s="24">
        <f t="shared" si="5"/>
        <v>1399101</v>
      </c>
    </row>
    <row r="56" spans="2:15" ht="22.5">
      <c r="B56" s="21" t="s">
        <v>11</v>
      </c>
      <c r="C56" s="23">
        <v>261691</v>
      </c>
      <c r="D56" s="23">
        <v>50333</v>
      </c>
      <c r="E56" s="23">
        <v>61444</v>
      </c>
      <c r="F56" s="23">
        <v>63405</v>
      </c>
      <c r="G56" s="23">
        <v>110980</v>
      </c>
      <c r="H56" s="23">
        <v>100227</v>
      </c>
      <c r="I56" s="23">
        <v>71743</v>
      </c>
      <c r="J56" s="23">
        <v>73228</v>
      </c>
      <c r="K56" s="23">
        <v>73501</v>
      </c>
      <c r="L56" s="23">
        <v>107692</v>
      </c>
      <c r="M56" s="23">
        <v>64507</v>
      </c>
      <c r="N56" s="23">
        <v>77738</v>
      </c>
      <c r="O56" s="24">
        <f t="shared" si="5"/>
        <v>1116489</v>
      </c>
    </row>
    <row r="57" spans="2:15" ht="22.5">
      <c r="B57" s="21" t="s">
        <v>12</v>
      </c>
      <c r="C57" s="23">
        <v>72216</v>
      </c>
      <c r="D57" s="23">
        <v>112482</v>
      </c>
      <c r="E57" s="23">
        <v>183665</v>
      </c>
      <c r="F57" s="23">
        <v>92678</v>
      </c>
      <c r="G57" s="23">
        <v>124603</v>
      </c>
      <c r="H57" s="23">
        <v>156099</v>
      </c>
      <c r="I57" s="23">
        <v>105883</v>
      </c>
      <c r="J57" s="23">
        <v>86370</v>
      </c>
      <c r="K57" s="23">
        <v>90349</v>
      </c>
      <c r="L57" s="23">
        <v>88491</v>
      </c>
      <c r="M57" s="23">
        <v>98269</v>
      </c>
      <c r="N57" s="23">
        <v>114919</v>
      </c>
      <c r="O57" s="24">
        <f t="shared" si="5"/>
        <v>1326024</v>
      </c>
    </row>
    <row r="58" spans="2:15" ht="22.5">
      <c r="B58" s="21" t="s">
        <v>5</v>
      </c>
      <c r="C58" s="23">
        <v>16273</v>
      </c>
      <c r="D58" s="23">
        <v>18068</v>
      </c>
      <c r="E58" s="23">
        <v>14939</v>
      </c>
      <c r="F58" s="23">
        <v>12053</v>
      </c>
      <c r="G58" s="23">
        <v>10484</v>
      </c>
      <c r="H58" s="23">
        <v>26442</v>
      </c>
      <c r="I58" s="23">
        <v>16345</v>
      </c>
      <c r="J58" s="23">
        <v>168840</v>
      </c>
      <c r="K58" s="23">
        <v>34229</v>
      </c>
      <c r="L58" s="23">
        <v>18483</v>
      </c>
      <c r="M58" s="44">
        <v>14383</v>
      </c>
      <c r="N58" s="23">
        <v>16065</v>
      </c>
      <c r="O58" s="24">
        <f t="shared" si="5"/>
        <v>366604</v>
      </c>
    </row>
    <row r="59" spans="2:15" ht="22.5">
      <c r="B59" s="21" t="s">
        <v>6</v>
      </c>
      <c r="C59" s="23">
        <v>10802</v>
      </c>
      <c r="D59" s="23">
        <v>9273</v>
      </c>
      <c r="E59" s="23">
        <v>28010</v>
      </c>
      <c r="F59" s="23">
        <v>14559</v>
      </c>
      <c r="G59" s="23">
        <v>18122</v>
      </c>
      <c r="H59" s="23">
        <v>16318</v>
      </c>
      <c r="I59" s="23">
        <v>20262</v>
      </c>
      <c r="J59" s="23">
        <v>69304</v>
      </c>
      <c r="K59" s="23">
        <v>35026</v>
      </c>
      <c r="L59" s="23">
        <v>20093</v>
      </c>
      <c r="M59" s="23">
        <v>16779</v>
      </c>
      <c r="N59" s="23">
        <v>16078</v>
      </c>
      <c r="O59" s="24">
        <f t="shared" si="5"/>
        <v>274626</v>
      </c>
    </row>
    <row r="60" spans="2:15" ht="22.5">
      <c r="B60" s="21" t="s">
        <v>13</v>
      </c>
      <c r="C60" s="23">
        <v>31346</v>
      </c>
      <c r="D60" s="23">
        <v>14537</v>
      </c>
      <c r="E60" s="23">
        <v>15417</v>
      </c>
      <c r="F60" s="23">
        <v>40162</v>
      </c>
      <c r="G60" s="23">
        <v>24066</v>
      </c>
      <c r="H60" s="23">
        <v>14741</v>
      </c>
      <c r="I60" s="23">
        <v>13593</v>
      </c>
      <c r="J60" s="23">
        <v>26118</v>
      </c>
      <c r="K60" s="23">
        <v>24975</v>
      </c>
      <c r="L60" s="23">
        <v>20247</v>
      </c>
      <c r="M60" s="23">
        <v>35000</v>
      </c>
      <c r="N60" s="23">
        <v>21620</v>
      </c>
      <c r="O60" s="24">
        <f t="shared" si="5"/>
        <v>281822</v>
      </c>
    </row>
    <row r="61" spans="2:15" ht="22.5">
      <c r="B61" s="21" t="s">
        <v>15</v>
      </c>
      <c r="C61" s="23">
        <v>23334</v>
      </c>
      <c r="D61" s="23">
        <v>11876</v>
      </c>
      <c r="E61" s="23">
        <v>51328</v>
      </c>
      <c r="F61" s="23">
        <v>26244</v>
      </c>
      <c r="G61" s="23">
        <v>25259</v>
      </c>
      <c r="H61" s="23">
        <v>45375</v>
      </c>
      <c r="I61" s="23">
        <v>44709</v>
      </c>
      <c r="J61" s="23">
        <v>20697</v>
      </c>
      <c r="K61" s="23">
        <v>30710</v>
      </c>
      <c r="L61" s="23">
        <v>16761</v>
      </c>
      <c r="M61" s="23">
        <v>32384</v>
      </c>
      <c r="N61" s="23">
        <v>59587</v>
      </c>
      <c r="O61" s="24">
        <f t="shared" si="5"/>
        <v>388264</v>
      </c>
    </row>
    <row r="62" spans="2:15" ht="22.5">
      <c r="B62" s="21" t="s">
        <v>14</v>
      </c>
      <c r="C62" s="23">
        <v>13998</v>
      </c>
      <c r="D62" s="23">
        <v>7114</v>
      </c>
      <c r="E62" s="23">
        <v>11434</v>
      </c>
      <c r="F62" s="23">
        <v>8421</v>
      </c>
      <c r="G62" s="23">
        <v>8933</v>
      </c>
      <c r="H62" s="23">
        <v>24898</v>
      </c>
      <c r="I62" s="23">
        <v>23709</v>
      </c>
      <c r="J62" s="23">
        <v>10696</v>
      </c>
      <c r="K62" s="23">
        <v>10</v>
      </c>
      <c r="L62" s="23">
        <v>16044</v>
      </c>
      <c r="M62" s="23">
        <v>12672</v>
      </c>
      <c r="N62" s="23">
        <v>47246</v>
      </c>
      <c r="O62" s="24">
        <f t="shared" si="5"/>
        <v>185175</v>
      </c>
    </row>
    <row r="63" spans="2:15" ht="22.5">
      <c r="B63" s="21" t="s">
        <v>22</v>
      </c>
      <c r="C63" s="22">
        <f>SUM(C54:C62)</f>
        <v>659333</v>
      </c>
      <c r="D63" s="22">
        <f aca="true" t="shared" si="6" ref="D63:O63">SUM(D54:D62)</f>
        <v>404562</v>
      </c>
      <c r="E63" s="22">
        <f t="shared" si="6"/>
        <v>516699</v>
      </c>
      <c r="F63" s="22">
        <f t="shared" si="6"/>
        <v>428679</v>
      </c>
      <c r="G63" s="22">
        <f t="shared" si="6"/>
        <v>499816</v>
      </c>
      <c r="H63" s="22">
        <f t="shared" si="6"/>
        <v>632883</v>
      </c>
      <c r="I63" s="22">
        <f t="shared" si="6"/>
        <v>580046</v>
      </c>
      <c r="J63" s="22">
        <f t="shared" si="6"/>
        <v>646697</v>
      </c>
      <c r="K63" s="22">
        <f t="shared" si="6"/>
        <v>451824</v>
      </c>
      <c r="L63" s="22">
        <f t="shared" si="6"/>
        <v>488097</v>
      </c>
      <c r="M63" s="22">
        <f t="shared" si="6"/>
        <v>481791</v>
      </c>
      <c r="N63" s="22">
        <f t="shared" si="6"/>
        <v>673479</v>
      </c>
      <c r="O63" s="22">
        <f t="shared" si="6"/>
        <v>6463906</v>
      </c>
    </row>
    <row r="65" spans="1:16" s="9" customFormat="1" ht="30" customHeight="1">
      <c r="A65" s="191" t="s">
        <v>63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</row>
  </sheetData>
  <sheetProtection/>
  <mergeCells count="7">
    <mergeCell ref="F51:H51"/>
    <mergeCell ref="A65:P65"/>
    <mergeCell ref="B2:O2"/>
    <mergeCell ref="B17:O17"/>
    <mergeCell ref="F19:H19"/>
    <mergeCell ref="B34:O34"/>
    <mergeCell ref="B49:O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rightToLeft="1" workbookViewId="0" topLeftCell="A46">
      <selection activeCell="N69" sqref="N69"/>
    </sheetView>
  </sheetViews>
  <sheetFormatPr defaultColWidth="9.140625" defaultRowHeight="12.75"/>
  <cols>
    <col min="1" max="1" width="3.421875" style="0" customWidth="1"/>
    <col min="2" max="2" width="22.140625" style="0" customWidth="1"/>
    <col min="11" max="11" width="12.421875" style="0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193" t="s">
        <v>39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s="1" customFormat="1" ht="15" customHeight="1">
      <c r="A3" s="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15" customHeight="1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74.25" customHeight="1">
      <c r="A5" s="3"/>
      <c r="B5" s="17" t="s">
        <v>25</v>
      </c>
      <c r="C5" s="27" t="s">
        <v>16</v>
      </c>
      <c r="D5" s="27" t="s">
        <v>17</v>
      </c>
      <c r="E5" s="27" t="s">
        <v>18</v>
      </c>
      <c r="F5" s="27" t="s">
        <v>21</v>
      </c>
      <c r="G5" s="27" t="s">
        <v>26</v>
      </c>
      <c r="H5" s="27" t="s">
        <v>27</v>
      </c>
      <c r="I5" s="27" t="s">
        <v>28</v>
      </c>
      <c r="J5" s="27" t="s">
        <v>29</v>
      </c>
      <c r="K5" s="27" t="s">
        <v>30</v>
      </c>
      <c r="L5" s="27" t="s">
        <v>31</v>
      </c>
      <c r="M5" s="27" t="s">
        <v>32</v>
      </c>
      <c r="N5" s="27" t="s">
        <v>33</v>
      </c>
      <c r="O5" s="27" t="s">
        <v>34</v>
      </c>
    </row>
    <row r="6" spans="1:15" s="7" customFormat="1" ht="22.5">
      <c r="A6"/>
      <c r="B6" s="21" t="s">
        <v>1</v>
      </c>
      <c r="C6" s="30">
        <v>34</v>
      </c>
      <c r="D6" s="30">
        <v>39</v>
      </c>
      <c r="E6" s="30">
        <v>54</v>
      </c>
      <c r="F6" s="30">
        <v>26</v>
      </c>
      <c r="G6" s="30">
        <v>38</v>
      </c>
      <c r="H6" s="30">
        <v>33</v>
      </c>
      <c r="I6" s="30">
        <v>23</v>
      </c>
      <c r="J6" s="30">
        <v>25</v>
      </c>
      <c r="K6" s="30">
        <v>27</v>
      </c>
      <c r="L6" s="30">
        <v>39</v>
      </c>
      <c r="M6" s="30">
        <v>48</v>
      </c>
      <c r="N6" s="30">
        <v>44</v>
      </c>
      <c r="O6" s="31">
        <f aca="true" t="shared" si="0" ref="O6:O14">SUM(C6:N6)</f>
        <v>430</v>
      </c>
    </row>
    <row r="7" spans="1:15" s="5" customFormat="1" ht="22.5">
      <c r="A7"/>
      <c r="B7" s="21" t="s">
        <v>2</v>
      </c>
      <c r="C7" s="30">
        <v>57</v>
      </c>
      <c r="D7" s="30">
        <v>55</v>
      </c>
      <c r="E7" s="30">
        <v>101</v>
      </c>
      <c r="F7" s="30">
        <v>74</v>
      </c>
      <c r="G7" s="30">
        <v>89</v>
      </c>
      <c r="H7" s="30">
        <v>74</v>
      </c>
      <c r="I7" s="30">
        <v>62</v>
      </c>
      <c r="J7" s="30">
        <v>78</v>
      </c>
      <c r="K7" s="30">
        <v>74</v>
      </c>
      <c r="L7" s="30">
        <v>93</v>
      </c>
      <c r="M7" s="30">
        <v>90</v>
      </c>
      <c r="N7" s="30">
        <v>103</v>
      </c>
      <c r="O7" s="31">
        <f t="shared" si="0"/>
        <v>950</v>
      </c>
    </row>
    <row r="8" spans="1:15" s="5" customFormat="1" ht="22.5">
      <c r="A8"/>
      <c r="B8" s="21" t="s">
        <v>3</v>
      </c>
      <c r="C8" s="30">
        <v>40</v>
      </c>
      <c r="D8" s="30">
        <v>44</v>
      </c>
      <c r="E8" s="30">
        <v>46</v>
      </c>
      <c r="F8" s="30">
        <v>45</v>
      </c>
      <c r="G8" s="30">
        <v>61</v>
      </c>
      <c r="H8" s="30">
        <v>41</v>
      </c>
      <c r="I8" s="30">
        <v>45</v>
      </c>
      <c r="J8" s="30">
        <v>31</v>
      </c>
      <c r="K8" s="30">
        <v>54</v>
      </c>
      <c r="L8" s="30">
        <v>57</v>
      </c>
      <c r="M8" s="30">
        <v>33</v>
      </c>
      <c r="N8" s="30">
        <v>51</v>
      </c>
      <c r="O8" s="31">
        <f t="shared" si="0"/>
        <v>548</v>
      </c>
    </row>
    <row r="9" spans="1:15" s="5" customFormat="1" ht="22.5">
      <c r="A9"/>
      <c r="B9" s="21" t="s">
        <v>4</v>
      </c>
      <c r="C9" s="30">
        <v>75</v>
      </c>
      <c r="D9" s="30">
        <v>54</v>
      </c>
      <c r="E9" s="30">
        <v>74</v>
      </c>
      <c r="F9" s="30">
        <v>61</v>
      </c>
      <c r="G9" s="30">
        <v>75</v>
      </c>
      <c r="H9" s="30">
        <v>74</v>
      </c>
      <c r="I9" s="30">
        <v>61</v>
      </c>
      <c r="J9" s="30">
        <v>50</v>
      </c>
      <c r="K9" s="30">
        <v>57</v>
      </c>
      <c r="L9" s="30">
        <v>65</v>
      </c>
      <c r="M9" s="30">
        <v>71</v>
      </c>
      <c r="N9" s="30">
        <v>62</v>
      </c>
      <c r="O9" s="31">
        <f t="shared" si="0"/>
        <v>779</v>
      </c>
    </row>
    <row r="10" spans="1:15" s="5" customFormat="1" ht="22.5">
      <c r="A10"/>
      <c r="B10" s="21" t="s">
        <v>5</v>
      </c>
      <c r="C10" s="30">
        <v>11</v>
      </c>
      <c r="D10" s="30">
        <v>14</v>
      </c>
      <c r="E10" s="30">
        <v>16</v>
      </c>
      <c r="F10" s="30">
        <v>9</v>
      </c>
      <c r="G10" s="30">
        <v>10</v>
      </c>
      <c r="H10" s="30">
        <v>13</v>
      </c>
      <c r="I10" s="30">
        <v>23</v>
      </c>
      <c r="J10" s="30">
        <v>8</v>
      </c>
      <c r="K10" s="30">
        <v>13</v>
      </c>
      <c r="L10" s="30">
        <v>19</v>
      </c>
      <c r="M10" s="30">
        <v>16</v>
      </c>
      <c r="N10" s="30">
        <v>17</v>
      </c>
      <c r="O10" s="31">
        <f t="shared" si="0"/>
        <v>169</v>
      </c>
    </row>
    <row r="11" spans="1:15" s="5" customFormat="1" ht="22.5">
      <c r="A11"/>
      <c r="B11" s="21" t="s">
        <v>6</v>
      </c>
      <c r="C11" s="30">
        <v>13</v>
      </c>
      <c r="D11" s="30">
        <v>15</v>
      </c>
      <c r="E11" s="30">
        <v>16</v>
      </c>
      <c r="F11" s="30">
        <v>15</v>
      </c>
      <c r="G11" s="30">
        <v>15</v>
      </c>
      <c r="H11" s="30">
        <v>10</v>
      </c>
      <c r="I11" s="30">
        <v>15</v>
      </c>
      <c r="J11" s="30">
        <v>14</v>
      </c>
      <c r="K11" s="30">
        <v>29</v>
      </c>
      <c r="L11" s="30">
        <v>15</v>
      </c>
      <c r="M11" s="30">
        <v>17</v>
      </c>
      <c r="N11" s="30">
        <v>15</v>
      </c>
      <c r="O11" s="31">
        <f t="shared" si="0"/>
        <v>189</v>
      </c>
    </row>
    <row r="12" spans="1:15" s="5" customFormat="1" ht="22.5">
      <c r="A12"/>
      <c r="B12" s="21" t="s">
        <v>7</v>
      </c>
      <c r="C12" s="30">
        <v>14</v>
      </c>
      <c r="D12" s="30">
        <v>23</v>
      </c>
      <c r="E12" s="30">
        <v>19</v>
      </c>
      <c r="F12" s="30">
        <v>21</v>
      </c>
      <c r="G12" s="30">
        <v>27</v>
      </c>
      <c r="H12" s="30">
        <v>19</v>
      </c>
      <c r="I12" s="30">
        <v>23</v>
      </c>
      <c r="J12" s="30">
        <v>24</v>
      </c>
      <c r="K12" s="30">
        <v>27</v>
      </c>
      <c r="L12" s="30">
        <v>29</v>
      </c>
      <c r="M12" s="30">
        <v>21</v>
      </c>
      <c r="N12" s="30">
        <v>27</v>
      </c>
      <c r="O12" s="31">
        <f t="shared" si="0"/>
        <v>274</v>
      </c>
    </row>
    <row r="13" spans="1:15" s="5" customFormat="1" ht="22.5">
      <c r="A13"/>
      <c r="B13" s="21" t="s">
        <v>8</v>
      </c>
      <c r="C13" s="30">
        <v>14</v>
      </c>
      <c r="D13" s="30">
        <v>15</v>
      </c>
      <c r="E13" s="30">
        <v>18</v>
      </c>
      <c r="F13" s="30">
        <v>16</v>
      </c>
      <c r="G13" s="30">
        <v>5</v>
      </c>
      <c r="H13" s="30">
        <v>16</v>
      </c>
      <c r="I13" s="30">
        <v>9</v>
      </c>
      <c r="J13" s="30">
        <v>15</v>
      </c>
      <c r="K13" s="30">
        <v>11</v>
      </c>
      <c r="L13" s="30">
        <v>15</v>
      </c>
      <c r="M13" s="30">
        <v>23</v>
      </c>
      <c r="N13" s="30">
        <v>17</v>
      </c>
      <c r="O13" s="31">
        <f t="shared" si="0"/>
        <v>174</v>
      </c>
    </row>
    <row r="14" spans="1:15" s="5" customFormat="1" ht="22.5">
      <c r="A14"/>
      <c r="B14" s="21" t="s">
        <v>9</v>
      </c>
      <c r="C14" s="30">
        <v>8</v>
      </c>
      <c r="D14" s="30">
        <v>8</v>
      </c>
      <c r="E14" s="30">
        <v>12</v>
      </c>
      <c r="F14" s="30">
        <v>11</v>
      </c>
      <c r="G14" s="30">
        <v>9</v>
      </c>
      <c r="H14" s="30">
        <v>6</v>
      </c>
      <c r="I14" s="30">
        <v>15</v>
      </c>
      <c r="J14" s="30">
        <v>9</v>
      </c>
      <c r="K14" s="30">
        <v>10</v>
      </c>
      <c r="L14" s="30">
        <v>12</v>
      </c>
      <c r="M14" s="30">
        <v>16</v>
      </c>
      <c r="N14" s="30">
        <v>11</v>
      </c>
      <c r="O14" s="31">
        <f t="shared" si="0"/>
        <v>127</v>
      </c>
    </row>
    <row r="15" spans="1:15" s="5" customFormat="1" ht="22.5">
      <c r="A15"/>
      <c r="B15" s="21" t="s">
        <v>22</v>
      </c>
      <c r="C15" s="28">
        <f>SUM(C6:C14)</f>
        <v>266</v>
      </c>
      <c r="D15" s="28">
        <f aca="true" t="shared" si="1" ref="D15:O15">SUM(D6:D14)</f>
        <v>267</v>
      </c>
      <c r="E15" s="28">
        <f t="shared" si="1"/>
        <v>356</v>
      </c>
      <c r="F15" s="28">
        <f t="shared" si="1"/>
        <v>278</v>
      </c>
      <c r="G15" s="28">
        <f t="shared" si="1"/>
        <v>329</v>
      </c>
      <c r="H15" s="28">
        <f t="shared" si="1"/>
        <v>286</v>
      </c>
      <c r="I15" s="28">
        <f t="shared" si="1"/>
        <v>276</v>
      </c>
      <c r="J15" s="28">
        <f t="shared" si="1"/>
        <v>254</v>
      </c>
      <c r="K15" s="28">
        <f t="shared" si="1"/>
        <v>302</v>
      </c>
      <c r="L15" s="28">
        <f t="shared" si="1"/>
        <v>344</v>
      </c>
      <c r="M15" s="28">
        <f t="shared" si="1"/>
        <v>335</v>
      </c>
      <c r="N15" s="28">
        <f t="shared" si="1"/>
        <v>347</v>
      </c>
      <c r="O15" s="28">
        <f t="shared" si="1"/>
        <v>3640</v>
      </c>
    </row>
    <row r="16" spans="1:15" s="2" customFormat="1" ht="12.75">
      <c r="A16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2" customFormat="1" ht="14.25">
      <c r="A17"/>
      <c r="B17" s="193" t="s">
        <v>40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2" customFormat="1" ht="14.25">
      <c r="A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2" customFormat="1" ht="14.25">
      <c r="A19"/>
      <c r="B19" s="16" t="s">
        <v>23</v>
      </c>
      <c r="C19" s="16"/>
      <c r="D19" s="16"/>
      <c r="E19" s="16"/>
      <c r="F19" s="190" t="s">
        <v>24</v>
      </c>
      <c r="G19" s="190"/>
      <c r="H19" s="190"/>
      <c r="I19" s="16"/>
      <c r="J19" s="16"/>
      <c r="K19" s="16"/>
      <c r="L19" s="16"/>
      <c r="M19" s="16"/>
      <c r="N19" s="16"/>
      <c r="O19" s="16"/>
    </row>
    <row r="20" spans="1:15" s="2" customFormat="1" ht="12.75">
      <c r="A20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5" customFormat="1" ht="45" customHeight="1">
      <c r="A21"/>
      <c r="B21" s="17" t="s">
        <v>25</v>
      </c>
      <c r="C21" s="27" t="s">
        <v>16</v>
      </c>
      <c r="D21" s="27" t="s">
        <v>17</v>
      </c>
      <c r="E21" s="27" t="s">
        <v>18</v>
      </c>
      <c r="F21" s="27" t="s">
        <v>21</v>
      </c>
      <c r="G21" s="27" t="s">
        <v>26</v>
      </c>
      <c r="H21" s="27" t="s">
        <v>27</v>
      </c>
      <c r="I21" s="27" t="s">
        <v>28</v>
      </c>
      <c r="J21" s="27" t="s">
        <v>29</v>
      </c>
      <c r="K21" s="27" t="s">
        <v>30</v>
      </c>
      <c r="L21" s="27" t="s">
        <v>31</v>
      </c>
      <c r="M21" s="27" t="s">
        <v>32</v>
      </c>
      <c r="N21" s="27" t="s">
        <v>33</v>
      </c>
      <c r="O21" s="27" t="s">
        <v>34</v>
      </c>
    </row>
    <row r="22" spans="1:15" s="5" customFormat="1" ht="22.5">
      <c r="A22"/>
      <c r="B22" s="21" t="s">
        <v>1</v>
      </c>
      <c r="C22" s="30">
        <v>54996</v>
      </c>
      <c r="D22" s="30">
        <v>16249</v>
      </c>
      <c r="E22" s="30">
        <v>78806</v>
      </c>
      <c r="F22" s="23">
        <v>10005</v>
      </c>
      <c r="G22" s="30">
        <v>33751</v>
      </c>
      <c r="H22" s="30">
        <v>6214</v>
      </c>
      <c r="I22" s="30">
        <v>16794</v>
      </c>
      <c r="J22" s="30">
        <v>12487</v>
      </c>
      <c r="K22" s="30">
        <v>10554</v>
      </c>
      <c r="L22" s="30">
        <v>28810</v>
      </c>
      <c r="M22" s="30">
        <v>65127</v>
      </c>
      <c r="N22" s="30">
        <v>84504</v>
      </c>
      <c r="O22" s="31">
        <f aca="true" t="shared" si="2" ref="O22:O30">SUM(C22:N22)</f>
        <v>418297</v>
      </c>
    </row>
    <row r="23" spans="1:15" s="5" customFormat="1" ht="22.5">
      <c r="A23"/>
      <c r="B23" s="21" t="s">
        <v>10</v>
      </c>
      <c r="C23" s="30">
        <v>22344</v>
      </c>
      <c r="D23" s="30">
        <v>11285</v>
      </c>
      <c r="E23" s="30">
        <v>17716</v>
      </c>
      <c r="F23" s="23">
        <v>18696</v>
      </c>
      <c r="G23" s="30">
        <v>32188</v>
      </c>
      <c r="H23" s="30">
        <v>14442</v>
      </c>
      <c r="I23" s="30">
        <v>15775</v>
      </c>
      <c r="J23" s="30">
        <v>13310</v>
      </c>
      <c r="K23" s="30">
        <v>11864</v>
      </c>
      <c r="L23" s="30">
        <v>14570</v>
      </c>
      <c r="M23" s="30">
        <v>43767</v>
      </c>
      <c r="N23" s="30">
        <v>53754</v>
      </c>
      <c r="O23" s="31">
        <f t="shared" si="2"/>
        <v>269711</v>
      </c>
    </row>
    <row r="24" spans="1:15" s="5" customFormat="1" ht="22.5">
      <c r="A24"/>
      <c r="B24" s="21" t="s">
        <v>11</v>
      </c>
      <c r="C24" s="30">
        <v>5053</v>
      </c>
      <c r="D24" s="30">
        <v>7523</v>
      </c>
      <c r="E24" s="30">
        <v>26204</v>
      </c>
      <c r="F24" s="23">
        <v>30793</v>
      </c>
      <c r="G24" s="30">
        <v>76854</v>
      </c>
      <c r="H24" s="30">
        <v>67748</v>
      </c>
      <c r="I24" s="30">
        <v>24959</v>
      </c>
      <c r="J24" s="30">
        <v>76703</v>
      </c>
      <c r="K24" s="30">
        <v>116465</v>
      </c>
      <c r="L24" s="30">
        <v>91525</v>
      </c>
      <c r="M24" s="30">
        <v>139893</v>
      </c>
      <c r="N24" s="30">
        <v>207242</v>
      </c>
      <c r="O24" s="31">
        <f t="shared" si="2"/>
        <v>870962</v>
      </c>
    </row>
    <row r="25" spans="1:15" s="1" customFormat="1" ht="22.5">
      <c r="A25"/>
      <c r="B25" s="21" t="s">
        <v>12</v>
      </c>
      <c r="C25" s="30">
        <v>16766</v>
      </c>
      <c r="D25" s="30">
        <v>11591</v>
      </c>
      <c r="E25" s="30">
        <v>16324</v>
      </c>
      <c r="F25" s="23">
        <v>12005</v>
      </c>
      <c r="G25" s="30">
        <v>9658</v>
      </c>
      <c r="H25" s="30">
        <v>28875</v>
      </c>
      <c r="I25" s="30">
        <v>9559</v>
      </c>
      <c r="J25" s="30">
        <v>26444</v>
      </c>
      <c r="K25" s="30">
        <v>25427</v>
      </c>
      <c r="L25" s="30">
        <v>31745</v>
      </c>
      <c r="M25" s="30">
        <v>44976</v>
      </c>
      <c r="N25" s="30">
        <v>15060</v>
      </c>
      <c r="O25" s="31">
        <f t="shared" si="2"/>
        <v>248430</v>
      </c>
    </row>
    <row r="26" spans="1:15" s="1" customFormat="1" ht="22.5">
      <c r="A26"/>
      <c r="B26" s="21" t="s">
        <v>5</v>
      </c>
      <c r="C26" s="30">
        <v>924</v>
      </c>
      <c r="D26" s="30">
        <v>1413</v>
      </c>
      <c r="E26" s="30">
        <v>3327</v>
      </c>
      <c r="F26" s="23">
        <v>2633</v>
      </c>
      <c r="G26" s="30">
        <v>1633</v>
      </c>
      <c r="H26" s="30">
        <v>1279</v>
      </c>
      <c r="I26" s="30">
        <v>25201</v>
      </c>
      <c r="J26" s="30">
        <v>3605</v>
      </c>
      <c r="K26" s="30">
        <v>1412</v>
      </c>
      <c r="L26" s="30">
        <v>5051</v>
      </c>
      <c r="M26" s="30">
        <v>8660</v>
      </c>
      <c r="N26" s="30">
        <v>3257</v>
      </c>
      <c r="O26" s="31">
        <f t="shared" si="2"/>
        <v>58395</v>
      </c>
    </row>
    <row r="27" spans="1:15" s="1" customFormat="1" ht="22.5">
      <c r="A27"/>
      <c r="B27" s="21" t="s">
        <v>6</v>
      </c>
      <c r="C27" s="30">
        <v>1355</v>
      </c>
      <c r="D27" s="30">
        <v>734</v>
      </c>
      <c r="E27" s="30">
        <v>3428</v>
      </c>
      <c r="F27" s="23">
        <v>2547</v>
      </c>
      <c r="G27" s="30">
        <v>3472</v>
      </c>
      <c r="H27" s="30">
        <v>16318</v>
      </c>
      <c r="I27" s="30">
        <v>2209</v>
      </c>
      <c r="J27" s="30">
        <v>1575</v>
      </c>
      <c r="K27" s="30">
        <v>4091</v>
      </c>
      <c r="L27" s="30">
        <v>1167</v>
      </c>
      <c r="M27" s="30">
        <v>2162</v>
      </c>
      <c r="N27" s="30">
        <v>2867</v>
      </c>
      <c r="O27" s="31">
        <f t="shared" si="2"/>
        <v>41925</v>
      </c>
    </row>
    <row r="28" spans="1:15" s="1" customFormat="1" ht="22.5">
      <c r="A28"/>
      <c r="B28" s="21" t="s">
        <v>13</v>
      </c>
      <c r="C28" s="30">
        <v>1884</v>
      </c>
      <c r="D28" s="30">
        <v>4150</v>
      </c>
      <c r="E28" s="30">
        <v>5519</v>
      </c>
      <c r="F28" s="23">
        <v>3606</v>
      </c>
      <c r="G28" s="30">
        <v>7479</v>
      </c>
      <c r="H28" s="30">
        <v>2599</v>
      </c>
      <c r="I28" s="30">
        <v>8967</v>
      </c>
      <c r="J28" s="30">
        <v>3976</v>
      </c>
      <c r="K28" s="30">
        <v>3494</v>
      </c>
      <c r="L28" s="30">
        <v>3624</v>
      </c>
      <c r="M28" s="30">
        <v>2416</v>
      </c>
      <c r="N28" s="30">
        <v>5889</v>
      </c>
      <c r="O28" s="31">
        <f t="shared" si="2"/>
        <v>53603</v>
      </c>
    </row>
    <row r="29" spans="1:15" s="1" customFormat="1" ht="22.5">
      <c r="A29"/>
      <c r="B29" s="21" t="s">
        <v>15</v>
      </c>
      <c r="C29" s="30">
        <v>2023</v>
      </c>
      <c r="D29" s="30">
        <v>2913</v>
      </c>
      <c r="E29" s="30">
        <v>9112</v>
      </c>
      <c r="F29" s="23">
        <v>2129</v>
      </c>
      <c r="G29" s="30">
        <v>541</v>
      </c>
      <c r="H29" s="30">
        <v>2599</v>
      </c>
      <c r="I29" s="30">
        <v>8955</v>
      </c>
      <c r="J29" s="30">
        <v>5296</v>
      </c>
      <c r="K29" s="30">
        <v>1131</v>
      </c>
      <c r="L29" s="30">
        <v>2660</v>
      </c>
      <c r="M29" s="30">
        <v>9289</v>
      </c>
      <c r="N29" s="30">
        <v>26265</v>
      </c>
      <c r="O29" s="31">
        <f t="shared" si="2"/>
        <v>72913</v>
      </c>
    </row>
    <row r="30" spans="1:15" s="1" customFormat="1" ht="22.5">
      <c r="A30"/>
      <c r="B30" s="21" t="s">
        <v>14</v>
      </c>
      <c r="C30" s="30">
        <v>53037</v>
      </c>
      <c r="D30" s="30">
        <v>1151</v>
      </c>
      <c r="E30" s="30">
        <v>2526</v>
      </c>
      <c r="F30" s="23">
        <v>2087</v>
      </c>
      <c r="G30" s="30">
        <v>415</v>
      </c>
      <c r="H30" s="30">
        <v>12591</v>
      </c>
      <c r="I30" s="30">
        <v>1491</v>
      </c>
      <c r="J30" s="30">
        <v>1568</v>
      </c>
      <c r="K30" s="30">
        <v>3376</v>
      </c>
      <c r="L30" s="30">
        <v>2469</v>
      </c>
      <c r="M30" s="30">
        <v>2863</v>
      </c>
      <c r="N30" s="30">
        <v>806226</v>
      </c>
      <c r="O30" s="31">
        <f t="shared" si="2"/>
        <v>889800</v>
      </c>
    </row>
    <row r="31" spans="1:15" s="1" customFormat="1" ht="22.5">
      <c r="A31"/>
      <c r="B31" s="21" t="s">
        <v>22</v>
      </c>
      <c r="C31" s="28">
        <f>SUM(C22:C30)</f>
        <v>158382</v>
      </c>
      <c r="D31" s="28">
        <f aca="true" t="shared" si="3" ref="D31:O31">SUM(D22:D30)</f>
        <v>57009</v>
      </c>
      <c r="E31" s="28">
        <f t="shared" si="3"/>
        <v>162962</v>
      </c>
      <c r="F31" s="28">
        <f t="shared" si="3"/>
        <v>84501</v>
      </c>
      <c r="G31" s="28">
        <f t="shared" si="3"/>
        <v>165991</v>
      </c>
      <c r="H31" s="28">
        <f t="shared" si="3"/>
        <v>152665</v>
      </c>
      <c r="I31" s="28">
        <f t="shared" si="3"/>
        <v>113910</v>
      </c>
      <c r="J31" s="28">
        <f t="shared" si="3"/>
        <v>144964</v>
      </c>
      <c r="K31" s="28">
        <f t="shared" si="3"/>
        <v>177814</v>
      </c>
      <c r="L31" s="28">
        <f t="shared" si="3"/>
        <v>181621</v>
      </c>
      <c r="M31" s="28">
        <f t="shared" si="3"/>
        <v>319153</v>
      </c>
      <c r="N31" s="28">
        <f t="shared" si="3"/>
        <v>1205064</v>
      </c>
      <c r="O31" s="28">
        <f t="shared" si="3"/>
        <v>2924036</v>
      </c>
    </row>
    <row r="33" spans="2:15" ht="12.7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14.25">
      <c r="B34" s="193" t="s">
        <v>41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</row>
    <row r="35" spans="2:15" ht="14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4.2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ht="25.5">
      <c r="B37" s="17" t="s">
        <v>25</v>
      </c>
      <c r="C37" s="27" t="s">
        <v>16</v>
      </c>
      <c r="D37" s="27" t="s">
        <v>17</v>
      </c>
      <c r="E37" s="27" t="s">
        <v>18</v>
      </c>
      <c r="F37" s="27" t="s">
        <v>21</v>
      </c>
      <c r="G37" s="27" t="s">
        <v>26</v>
      </c>
      <c r="H37" s="27" t="s">
        <v>27</v>
      </c>
      <c r="I37" s="27" t="s">
        <v>28</v>
      </c>
      <c r="J37" s="27" t="s">
        <v>29</v>
      </c>
      <c r="K37" s="27" t="s">
        <v>30</v>
      </c>
      <c r="L37" s="27" t="s">
        <v>31</v>
      </c>
      <c r="M37" s="27" t="s">
        <v>32</v>
      </c>
      <c r="N37" s="27" t="s">
        <v>33</v>
      </c>
      <c r="O37" s="27" t="s">
        <v>34</v>
      </c>
    </row>
    <row r="38" spans="2:15" ht="22.5">
      <c r="B38" s="21" t="s">
        <v>1</v>
      </c>
      <c r="C38" s="29">
        <v>33</v>
      </c>
      <c r="D38" s="29">
        <v>35</v>
      </c>
      <c r="E38" s="29">
        <f>28+16</f>
        <v>44</v>
      </c>
      <c r="F38" s="29">
        <f>22+22</f>
        <v>44</v>
      </c>
      <c r="G38" s="29">
        <f>1+37+22</f>
        <v>60</v>
      </c>
      <c r="H38" s="29">
        <f>1+40+12</f>
        <v>53</v>
      </c>
      <c r="I38" s="29">
        <f>31+16</f>
        <v>47</v>
      </c>
      <c r="J38" s="29">
        <f>37+8</f>
        <v>45</v>
      </c>
      <c r="K38" s="29">
        <f>0+27+10</f>
        <v>37</v>
      </c>
      <c r="L38" s="29">
        <f>0+28+18</f>
        <v>46</v>
      </c>
      <c r="M38" s="29">
        <f>0+34+24</f>
        <v>58</v>
      </c>
      <c r="N38" s="29">
        <f>0+32+18</f>
        <v>50</v>
      </c>
      <c r="O38" s="33">
        <f aca="true" t="shared" si="4" ref="O38:O46">SUM(C38:N38)</f>
        <v>552</v>
      </c>
    </row>
    <row r="39" spans="2:15" ht="22.5">
      <c r="B39" s="21" t="s">
        <v>2</v>
      </c>
      <c r="C39" s="29">
        <f>6+28+32</f>
        <v>66</v>
      </c>
      <c r="D39" s="29">
        <f>10+39+34</f>
        <v>83</v>
      </c>
      <c r="E39" s="29">
        <f>6+58+47</f>
        <v>111</v>
      </c>
      <c r="F39" s="29">
        <f>2+39+39</f>
        <v>80</v>
      </c>
      <c r="G39" s="29">
        <f>8+58+28</f>
        <v>94</v>
      </c>
      <c r="H39" s="29">
        <f>48+32</f>
        <v>80</v>
      </c>
      <c r="I39" s="29">
        <f>4+29+32</f>
        <v>65</v>
      </c>
      <c r="J39" s="29">
        <f>1+44+22</f>
        <v>67</v>
      </c>
      <c r="K39" s="29">
        <f>1+54+34</f>
        <v>89</v>
      </c>
      <c r="L39" s="29">
        <f>2+56+34</f>
        <v>92</v>
      </c>
      <c r="M39" s="29">
        <f>4+43+41</f>
        <v>88</v>
      </c>
      <c r="N39" s="29">
        <f>1+55+33</f>
        <v>89</v>
      </c>
      <c r="O39" s="33">
        <f t="shared" si="4"/>
        <v>1004</v>
      </c>
    </row>
    <row r="40" spans="2:15" ht="22.5">
      <c r="B40" s="21" t="s">
        <v>3</v>
      </c>
      <c r="C40" s="29">
        <f>2+19+22</f>
        <v>43</v>
      </c>
      <c r="D40" s="29">
        <f>45+42</f>
        <v>87</v>
      </c>
      <c r="E40" s="29">
        <f>49+42</f>
        <v>91</v>
      </c>
      <c r="F40" s="29">
        <f>31+23</f>
        <v>54</v>
      </c>
      <c r="G40" s="29">
        <f>48+24</f>
        <v>72</v>
      </c>
      <c r="H40" s="29">
        <f>6+80+40</f>
        <v>126</v>
      </c>
      <c r="I40" s="29">
        <f>37+26</f>
        <v>63</v>
      </c>
      <c r="J40" s="29">
        <f>8+29+44</f>
        <v>81</v>
      </c>
      <c r="K40" s="29">
        <f>1+33+20</f>
        <v>54</v>
      </c>
      <c r="L40" s="29">
        <f>1+47+26</f>
        <v>74</v>
      </c>
      <c r="M40" s="29">
        <f>1+44+37</f>
        <v>82</v>
      </c>
      <c r="N40" s="29">
        <f>0+66+42</f>
        <v>108</v>
      </c>
      <c r="O40" s="33">
        <f t="shared" si="4"/>
        <v>935</v>
      </c>
    </row>
    <row r="41" spans="2:15" ht="22.5">
      <c r="B41" s="21" t="s">
        <v>4</v>
      </c>
      <c r="C41" s="29">
        <f>2+41+38</f>
        <v>81</v>
      </c>
      <c r="D41" s="29">
        <f>52+4+45</f>
        <v>101</v>
      </c>
      <c r="E41" s="29">
        <f>3+49+31</f>
        <v>83</v>
      </c>
      <c r="F41" s="29">
        <f>1+53+26</f>
        <v>80</v>
      </c>
      <c r="G41" s="29">
        <f>65+28</f>
        <v>93</v>
      </c>
      <c r="H41" s="29">
        <f>1+76+36</f>
        <v>113</v>
      </c>
      <c r="I41" s="29">
        <f>3+77+16</f>
        <v>96</v>
      </c>
      <c r="J41" s="29">
        <f>43+22</f>
        <v>65</v>
      </c>
      <c r="K41" s="29">
        <f>1+34+29</f>
        <v>64</v>
      </c>
      <c r="L41" s="29">
        <f>2+73+18</f>
        <v>93</v>
      </c>
      <c r="M41" s="29">
        <f>6+76+28</f>
        <v>110</v>
      </c>
      <c r="N41" s="29">
        <f>0+62+33</f>
        <v>95</v>
      </c>
      <c r="O41" s="33">
        <f t="shared" si="4"/>
        <v>1074</v>
      </c>
    </row>
    <row r="42" spans="2:15" ht="22.5">
      <c r="B42" s="21" t="s">
        <v>5</v>
      </c>
      <c r="C42" s="29">
        <f>17+10</f>
        <v>27</v>
      </c>
      <c r="D42" s="29">
        <f>13+8</f>
        <v>21</v>
      </c>
      <c r="E42" s="29">
        <f>14+19</f>
        <v>33</v>
      </c>
      <c r="F42" s="29">
        <f>10+5</f>
        <v>15</v>
      </c>
      <c r="G42" s="29">
        <f>1+16+11</f>
        <v>28</v>
      </c>
      <c r="H42" s="29">
        <f>15+9</f>
        <v>24</v>
      </c>
      <c r="I42" s="29">
        <f>23+17</f>
        <v>40</v>
      </c>
      <c r="J42" s="29">
        <f>14+11</f>
        <v>25</v>
      </c>
      <c r="K42" s="29">
        <f>0+15+9</f>
        <v>24</v>
      </c>
      <c r="L42" s="29">
        <f>2+17+14</f>
        <v>33</v>
      </c>
      <c r="M42" s="29">
        <f>1+8+15</f>
        <v>24</v>
      </c>
      <c r="N42" s="29">
        <f>1+6+9</f>
        <v>16</v>
      </c>
      <c r="O42" s="33">
        <f t="shared" si="4"/>
        <v>310</v>
      </c>
    </row>
    <row r="43" spans="2:15" ht="22.5">
      <c r="B43" s="21" t="s">
        <v>6</v>
      </c>
      <c r="C43" s="29">
        <f>15+8</f>
        <v>23</v>
      </c>
      <c r="D43" s="29">
        <f>1+13+16</f>
        <v>30</v>
      </c>
      <c r="E43" s="29">
        <f>10+11</f>
        <v>21</v>
      </c>
      <c r="F43" s="29">
        <f>1+11+10</f>
        <v>22</v>
      </c>
      <c r="G43" s="29">
        <f>19+7</f>
        <v>26</v>
      </c>
      <c r="H43" s="29">
        <f>21+12</f>
        <v>33</v>
      </c>
      <c r="I43" s="29">
        <f>12+4</f>
        <v>16</v>
      </c>
      <c r="J43" s="29">
        <f>15+3</f>
        <v>18</v>
      </c>
      <c r="K43" s="29">
        <f>0+13+5</f>
        <v>18</v>
      </c>
      <c r="L43" s="29">
        <f>1+15+12</f>
        <v>28</v>
      </c>
      <c r="M43" s="29">
        <f>0+20+7</f>
        <v>27</v>
      </c>
      <c r="N43" s="29">
        <f>1+22+7</f>
        <v>30</v>
      </c>
      <c r="O43" s="33">
        <f t="shared" si="4"/>
        <v>292</v>
      </c>
    </row>
    <row r="44" spans="2:15" ht="22.5">
      <c r="B44" s="21" t="s">
        <v>7</v>
      </c>
      <c r="C44" s="29">
        <f>2+4+14</f>
        <v>20</v>
      </c>
      <c r="D44" s="29">
        <f>9+18</f>
        <v>27</v>
      </c>
      <c r="E44" s="29">
        <f>11+28+19</f>
        <v>58</v>
      </c>
      <c r="F44" s="29">
        <f>7+7+21</f>
        <v>35</v>
      </c>
      <c r="G44" s="29">
        <f>12+8+19</f>
        <v>39</v>
      </c>
      <c r="H44" s="29">
        <f>10+17+20</f>
        <v>47</v>
      </c>
      <c r="I44" s="29">
        <f>7+16+15</f>
        <v>38</v>
      </c>
      <c r="J44" s="29">
        <f>5+20</f>
        <v>25</v>
      </c>
      <c r="K44" s="29">
        <f>2+17+14</f>
        <v>33</v>
      </c>
      <c r="L44" s="29">
        <f>0+15+21</f>
        <v>36</v>
      </c>
      <c r="M44" s="29">
        <f>2+12+28</f>
        <v>42</v>
      </c>
      <c r="N44" s="29">
        <f>0+23+20</f>
        <v>43</v>
      </c>
      <c r="O44" s="33">
        <f t="shared" si="4"/>
        <v>443</v>
      </c>
    </row>
    <row r="45" spans="2:15" ht="22.5">
      <c r="B45" s="21" t="s">
        <v>8</v>
      </c>
      <c r="C45" s="29">
        <f>13+12</f>
        <v>25</v>
      </c>
      <c r="D45" s="29">
        <f>14+10</f>
        <v>24</v>
      </c>
      <c r="E45" s="29">
        <f>13+20</f>
        <v>33</v>
      </c>
      <c r="F45" s="29">
        <f>1+15+8</f>
        <v>24</v>
      </c>
      <c r="G45" s="29">
        <f>2+7+8</f>
        <v>17</v>
      </c>
      <c r="H45" s="29">
        <f>1+16+33</f>
        <v>50</v>
      </c>
      <c r="I45" s="29">
        <f>19+11</f>
        <v>30</v>
      </c>
      <c r="J45" s="29">
        <f>12+10</f>
        <v>22</v>
      </c>
      <c r="K45" s="29">
        <f>0+19+6</f>
        <v>25</v>
      </c>
      <c r="L45" s="29">
        <f>0+21+14</f>
        <v>35</v>
      </c>
      <c r="M45" s="29">
        <f>1+22+6</f>
        <v>29</v>
      </c>
      <c r="N45" s="29">
        <f>0+17+25</f>
        <v>42</v>
      </c>
      <c r="O45" s="33">
        <f t="shared" si="4"/>
        <v>356</v>
      </c>
    </row>
    <row r="46" spans="2:15" ht="22.5">
      <c r="B46" s="21" t="s">
        <v>9</v>
      </c>
      <c r="C46" s="29">
        <f>10+2</f>
        <v>12</v>
      </c>
      <c r="D46" s="34">
        <f>8+6</f>
        <v>14</v>
      </c>
      <c r="E46" s="29">
        <v>21</v>
      </c>
      <c r="F46" s="29">
        <f>4+7</f>
        <v>11</v>
      </c>
      <c r="G46" s="29">
        <f>4+7</f>
        <v>11</v>
      </c>
      <c r="H46" s="29">
        <f>5+5</f>
        <v>10</v>
      </c>
      <c r="I46" s="29">
        <f>4+1</f>
        <v>5</v>
      </c>
      <c r="J46" s="29">
        <f>6+3</f>
        <v>9</v>
      </c>
      <c r="K46" s="29">
        <f>0+4+4</f>
        <v>8</v>
      </c>
      <c r="L46" s="29">
        <f>0+8+2</f>
        <v>10</v>
      </c>
      <c r="M46" s="29">
        <f>0+2+3</f>
        <v>5</v>
      </c>
      <c r="N46" s="29">
        <f>0+9+5</f>
        <v>14</v>
      </c>
      <c r="O46" s="33">
        <f t="shared" si="4"/>
        <v>130</v>
      </c>
    </row>
    <row r="47" spans="2:15" ht="22.5">
      <c r="B47" s="21" t="s">
        <v>22</v>
      </c>
      <c r="C47" s="28">
        <f>SUM(C38:C46)</f>
        <v>330</v>
      </c>
      <c r="D47" s="28">
        <f aca="true" t="shared" si="5" ref="D47:O47">SUM(D38:D46)</f>
        <v>422</v>
      </c>
      <c r="E47" s="28">
        <f t="shared" si="5"/>
        <v>495</v>
      </c>
      <c r="F47" s="28">
        <f t="shared" si="5"/>
        <v>365</v>
      </c>
      <c r="G47" s="28">
        <f t="shared" si="5"/>
        <v>440</v>
      </c>
      <c r="H47" s="28">
        <f t="shared" si="5"/>
        <v>536</v>
      </c>
      <c r="I47" s="28">
        <f t="shared" si="5"/>
        <v>400</v>
      </c>
      <c r="J47" s="28">
        <f t="shared" si="5"/>
        <v>357</v>
      </c>
      <c r="K47" s="28">
        <f t="shared" si="5"/>
        <v>352</v>
      </c>
      <c r="L47" s="28">
        <f t="shared" si="5"/>
        <v>447</v>
      </c>
      <c r="M47" s="28">
        <f t="shared" si="5"/>
        <v>465</v>
      </c>
      <c r="N47" s="28">
        <f t="shared" si="5"/>
        <v>487</v>
      </c>
      <c r="O47" s="28">
        <f t="shared" si="5"/>
        <v>5096</v>
      </c>
    </row>
    <row r="48" spans="2:15" ht="12.7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14.25">
      <c r="B49" s="193" t="s">
        <v>42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</row>
    <row r="50" spans="2:15" ht="14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4.25">
      <c r="B51" s="16" t="s">
        <v>23</v>
      </c>
      <c r="C51" s="16"/>
      <c r="D51" s="16"/>
      <c r="E51" s="16"/>
      <c r="F51" s="190" t="s">
        <v>24</v>
      </c>
      <c r="G51" s="190"/>
      <c r="H51" s="190"/>
      <c r="I51" s="16"/>
      <c r="J51" s="16"/>
      <c r="K51" s="16"/>
      <c r="L51" s="16"/>
      <c r="M51" s="16"/>
      <c r="N51" s="16"/>
      <c r="O51" s="16"/>
    </row>
    <row r="52" spans="2:15" ht="12.7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25.5">
      <c r="B53" s="17" t="s">
        <v>25</v>
      </c>
      <c r="C53" s="27" t="s">
        <v>16</v>
      </c>
      <c r="D53" s="27" t="s">
        <v>17</v>
      </c>
      <c r="E53" s="27" t="s">
        <v>18</v>
      </c>
      <c r="F53" s="27" t="s">
        <v>21</v>
      </c>
      <c r="G53" s="27" t="s">
        <v>26</v>
      </c>
      <c r="H53" s="27" t="s">
        <v>27</v>
      </c>
      <c r="I53" s="27" t="s">
        <v>28</v>
      </c>
      <c r="J53" s="27" t="s">
        <v>29</v>
      </c>
      <c r="K53" s="27" t="s">
        <v>30</v>
      </c>
      <c r="L53" s="27" t="s">
        <v>31</v>
      </c>
      <c r="M53" s="27" t="s">
        <v>32</v>
      </c>
      <c r="N53" s="27" t="s">
        <v>33</v>
      </c>
      <c r="O53" s="27" t="s">
        <v>34</v>
      </c>
    </row>
    <row r="54" spans="2:15" ht="22.5">
      <c r="B54" s="21" t="s">
        <v>1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2">
        <f aca="true" t="shared" si="6" ref="O54:O62">SUM(C54:N54)</f>
        <v>0</v>
      </c>
    </row>
    <row r="55" spans="2:15" ht="22.5">
      <c r="B55" s="21" t="s">
        <v>10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2">
        <f t="shared" si="6"/>
        <v>0</v>
      </c>
    </row>
    <row r="56" spans="2:15" ht="22.5">
      <c r="B56" s="21" t="s">
        <v>11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2">
        <f t="shared" si="6"/>
        <v>0</v>
      </c>
    </row>
    <row r="57" spans="2:15" ht="22.5">
      <c r="B57" s="21" t="s">
        <v>12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2">
        <f t="shared" si="6"/>
        <v>0</v>
      </c>
    </row>
    <row r="58" spans="2:15" ht="22.5">
      <c r="B58" s="21" t="s">
        <v>5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2">
        <f t="shared" si="6"/>
        <v>0</v>
      </c>
    </row>
    <row r="59" spans="2:15" ht="22.5">
      <c r="B59" s="21" t="s">
        <v>6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2">
        <f t="shared" si="6"/>
        <v>0</v>
      </c>
    </row>
    <row r="60" spans="2:15" ht="22.5">
      <c r="B60" s="21" t="s">
        <v>13</v>
      </c>
      <c r="C60" s="30">
        <v>1</v>
      </c>
      <c r="D60" s="30">
        <v>0</v>
      </c>
      <c r="E60" s="30">
        <v>1</v>
      </c>
      <c r="F60" s="30">
        <v>3</v>
      </c>
      <c r="G60" s="30">
        <v>2</v>
      </c>
      <c r="H60" s="30">
        <v>0</v>
      </c>
      <c r="I60" s="30">
        <v>4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2">
        <f t="shared" si="6"/>
        <v>11</v>
      </c>
    </row>
    <row r="61" spans="2:15" ht="22.5">
      <c r="B61" s="21" t="s">
        <v>15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2">
        <f t="shared" si="6"/>
        <v>0</v>
      </c>
    </row>
    <row r="62" spans="2:15" ht="22.5">
      <c r="B62" s="21" t="s">
        <v>14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2">
        <f t="shared" si="6"/>
        <v>0</v>
      </c>
    </row>
    <row r="63" spans="2:15" ht="22.5">
      <c r="B63" s="21" t="s">
        <v>22</v>
      </c>
      <c r="C63" s="28">
        <f>SUM(C54:C62)</f>
        <v>1</v>
      </c>
      <c r="D63" s="28">
        <f aca="true" t="shared" si="7" ref="D63:O63">SUM(D54:D62)</f>
        <v>0</v>
      </c>
      <c r="E63" s="28">
        <f t="shared" si="7"/>
        <v>1</v>
      </c>
      <c r="F63" s="28">
        <f t="shared" si="7"/>
        <v>3</v>
      </c>
      <c r="G63" s="28">
        <f t="shared" si="7"/>
        <v>2</v>
      </c>
      <c r="H63" s="28">
        <f t="shared" si="7"/>
        <v>0</v>
      </c>
      <c r="I63" s="28">
        <f t="shared" si="7"/>
        <v>4</v>
      </c>
      <c r="J63" s="28">
        <f t="shared" si="7"/>
        <v>0</v>
      </c>
      <c r="K63" s="28">
        <f t="shared" si="7"/>
        <v>0</v>
      </c>
      <c r="L63" s="28">
        <f t="shared" si="7"/>
        <v>0</v>
      </c>
      <c r="M63" s="28">
        <f t="shared" si="7"/>
        <v>0</v>
      </c>
      <c r="N63" s="28">
        <f t="shared" si="7"/>
        <v>0</v>
      </c>
      <c r="O63" s="28">
        <f t="shared" si="7"/>
        <v>11</v>
      </c>
    </row>
    <row r="65" spans="1:3" ht="12.75">
      <c r="A65" s="194" t="s">
        <v>64</v>
      </c>
      <c r="B65" s="194"/>
      <c r="C65" s="194"/>
    </row>
  </sheetData>
  <sheetProtection/>
  <mergeCells count="7">
    <mergeCell ref="A65:C65"/>
    <mergeCell ref="B2:O2"/>
    <mergeCell ref="B17:O17"/>
    <mergeCell ref="F19:H19"/>
    <mergeCell ref="B34:O34"/>
    <mergeCell ref="B49:O49"/>
    <mergeCell ref="F51:H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rightToLeft="1" zoomScalePageLayoutView="0" workbookViewId="0" topLeftCell="A1">
      <selection activeCell="K6" sqref="K6"/>
    </sheetView>
  </sheetViews>
  <sheetFormatPr defaultColWidth="9.140625" defaultRowHeight="12.75"/>
  <cols>
    <col min="1" max="1" width="3.421875" style="0" customWidth="1"/>
    <col min="2" max="2" width="22.140625" style="0" customWidth="1"/>
    <col min="11" max="11" width="12.421875" style="0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193" t="s">
        <v>43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s="1" customFormat="1" ht="15" customHeight="1">
      <c r="A3" s="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15" customHeight="1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74.25" customHeight="1">
      <c r="A5" s="3"/>
      <c r="B5" s="35" t="s">
        <v>25</v>
      </c>
      <c r="C5" s="27" t="s">
        <v>16</v>
      </c>
      <c r="D5" s="27" t="s">
        <v>17</v>
      </c>
      <c r="E5" s="27" t="s">
        <v>18</v>
      </c>
      <c r="F5" s="27" t="s">
        <v>21</v>
      </c>
      <c r="G5" s="27" t="s">
        <v>26</v>
      </c>
      <c r="H5" s="27" t="s">
        <v>27</v>
      </c>
      <c r="I5" s="27" t="s">
        <v>28</v>
      </c>
      <c r="J5" s="27" t="s">
        <v>29</v>
      </c>
      <c r="K5" s="27" t="s">
        <v>30</v>
      </c>
      <c r="L5" s="27" t="s">
        <v>31</v>
      </c>
      <c r="M5" s="27" t="s">
        <v>32</v>
      </c>
      <c r="N5" s="27" t="s">
        <v>33</v>
      </c>
      <c r="O5" s="27" t="s">
        <v>34</v>
      </c>
    </row>
    <row r="6" spans="1:15" s="7" customFormat="1" ht="22.5">
      <c r="A6"/>
      <c r="B6" s="21" t="s">
        <v>1</v>
      </c>
      <c r="C6" s="29">
        <v>1782</v>
      </c>
      <c r="D6" s="29">
        <v>1376</v>
      </c>
      <c r="E6" s="29">
        <v>1664</v>
      </c>
      <c r="F6" s="29">
        <v>1819</v>
      </c>
      <c r="G6" s="29">
        <v>1501</v>
      </c>
      <c r="H6" s="29">
        <v>1928</v>
      </c>
      <c r="I6" s="29">
        <v>2753</v>
      </c>
      <c r="J6" s="29">
        <v>3202</v>
      </c>
      <c r="K6" s="29">
        <v>1575</v>
      </c>
      <c r="L6" s="29">
        <v>1559</v>
      </c>
      <c r="M6" s="29">
        <v>1770</v>
      </c>
      <c r="N6" s="29">
        <v>2123</v>
      </c>
      <c r="O6" s="33">
        <f aca="true" t="shared" si="0" ref="O6:O14">SUM(C6:N6)</f>
        <v>23052</v>
      </c>
    </row>
    <row r="7" spans="1:15" s="5" customFormat="1" ht="22.5">
      <c r="A7"/>
      <c r="B7" s="21" t="s">
        <v>2</v>
      </c>
      <c r="C7" s="29">
        <v>3640</v>
      </c>
      <c r="D7" s="29">
        <v>3039</v>
      </c>
      <c r="E7" s="29">
        <v>4072</v>
      </c>
      <c r="F7" s="29">
        <v>4046</v>
      </c>
      <c r="G7" s="29">
        <v>4667</v>
      </c>
      <c r="H7" s="29">
        <v>4790</v>
      </c>
      <c r="I7" s="29">
        <v>5010</v>
      </c>
      <c r="J7" s="29">
        <v>3382</v>
      </c>
      <c r="K7" s="29">
        <v>5328</v>
      </c>
      <c r="L7" s="29">
        <v>4033</v>
      </c>
      <c r="M7" s="29">
        <v>4390</v>
      </c>
      <c r="N7" s="29">
        <v>5054</v>
      </c>
      <c r="O7" s="33">
        <f t="shared" si="0"/>
        <v>51451</v>
      </c>
    </row>
    <row r="8" spans="1:15" s="5" customFormat="1" ht="22.5">
      <c r="A8"/>
      <c r="B8" s="21" t="s">
        <v>3</v>
      </c>
      <c r="C8" s="29">
        <v>2222</v>
      </c>
      <c r="D8" s="29">
        <v>2153</v>
      </c>
      <c r="E8" s="29">
        <v>3381</v>
      </c>
      <c r="F8" s="29">
        <v>2449</v>
      </c>
      <c r="G8" s="29">
        <v>2253</v>
      </c>
      <c r="H8" s="29">
        <v>3098</v>
      </c>
      <c r="I8" s="29">
        <v>2580</v>
      </c>
      <c r="J8" s="29">
        <v>2786</v>
      </c>
      <c r="K8" s="29">
        <v>2650</v>
      </c>
      <c r="L8" s="29">
        <v>2427</v>
      </c>
      <c r="M8" s="29">
        <v>2691</v>
      </c>
      <c r="N8" s="29">
        <v>2941</v>
      </c>
      <c r="O8" s="33">
        <f t="shared" si="0"/>
        <v>31631</v>
      </c>
    </row>
    <row r="9" spans="1:15" s="5" customFormat="1" ht="22.5">
      <c r="A9"/>
      <c r="B9" s="21" t="s">
        <v>4</v>
      </c>
      <c r="C9" s="29">
        <v>3351</v>
      </c>
      <c r="D9" s="29">
        <v>2836</v>
      </c>
      <c r="E9" s="29">
        <v>3299</v>
      </c>
      <c r="F9" s="29">
        <v>2672</v>
      </c>
      <c r="G9" s="29">
        <v>2725</v>
      </c>
      <c r="H9" s="29">
        <v>4514</v>
      </c>
      <c r="I9" s="29">
        <v>3396</v>
      </c>
      <c r="J9" s="29">
        <v>2948</v>
      </c>
      <c r="K9" s="29">
        <v>2413</v>
      </c>
      <c r="L9" s="29">
        <v>3589</v>
      </c>
      <c r="M9" s="29">
        <v>3348</v>
      </c>
      <c r="N9" s="29">
        <v>3546</v>
      </c>
      <c r="O9" s="33">
        <f t="shared" si="0"/>
        <v>38637</v>
      </c>
    </row>
    <row r="10" spans="1:15" s="5" customFormat="1" ht="22.5">
      <c r="A10"/>
      <c r="B10" s="21" t="s">
        <v>5</v>
      </c>
      <c r="C10" s="29">
        <v>1189</v>
      </c>
      <c r="D10" s="29">
        <v>1596</v>
      </c>
      <c r="E10" s="29">
        <v>1671</v>
      </c>
      <c r="F10" s="29">
        <v>1361</v>
      </c>
      <c r="G10" s="29">
        <v>1354</v>
      </c>
      <c r="H10" s="29">
        <v>1689</v>
      </c>
      <c r="I10" s="29">
        <v>1362</v>
      </c>
      <c r="J10" s="29">
        <v>1502</v>
      </c>
      <c r="K10" s="29">
        <v>1178</v>
      </c>
      <c r="L10" s="29">
        <v>1489</v>
      </c>
      <c r="M10" s="29">
        <v>1436</v>
      </c>
      <c r="N10" s="29">
        <v>1663</v>
      </c>
      <c r="O10" s="33">
        <f t="shared" si="0"/>
        <v>17490</v>
      </c>
    </row>
    <row r="11" spans="1:15" s="5" customFormat="1" ht="22.5">
      <c r="A11"/>
      <c r="B11" s="21" t="s">
        <v>6</v>
      </c>
      <c r="C11" s="29">
        <v>2566</v>
      </c>
      <c r="D11" s="29">
        <v>1560</v>
      </c>
      <c r="E11" s="29">
        <v>1967</v>
      </c>
      <c r="F11" s="29">
        <v>1999</v>
      </c>
      <c r="G11" s="29">
        <v>1793</v>
      </c>
      <c r="H11" s="29">
        <v>3904</v>
      </c>
      <c r="I11" s="29">
        <v>1933</v>
      </c>
      <c r="J11" s="29">
        <v>1751</v>
      </c>
      <c r="K11" s="29">
        <v>1636</v>
      </c>
      <c r="L11" s="29">
        <v>1995</v>
      </c>
      <c r="M11" s="29">
        <v>1876</v>
      </c>
      <c r="N11" s="29">
        <v>1708</v>
      </c>
      <c r="O11" s="33">
        <f t="shared" si="0"/>
        <v>24688</v>
      </c>
    </row>
    <row r="12" spans="1:15" s="5" customFormat="1" ht="22.5">
      <c r="A12"/>
      <c r="B12" s="21" t="s">
        <v>7</v>
      </c>
      <c r="C12" s="29">
        <v>1406</v>
      </c>
      <c r="D12" s="29">
        <v>1579</v>
      </c>
      <c r="E12" s="29">
        <v>2178</v>
      </c>
      <c r="F12" s="29">
        <v>1933</v>
      </c>
      <c r="G12" s="29">
        <v>2882</v>
      </c>
      <c r="H12" s="29">
        <v>2683</v>
      </c>
      <c r="I12" s="29">
        <v>2343</v>
      </c>
      <c r="J12" s="29">
        <v>2574</v>
      </c>
      <c r="K12" s="29">
        <v>2584</v>
      </c>
      <c r="L12" s="29">
        <v>2342</v>
      </c>
      <c r="M12" s="29">
        <v>2149</v>
      </c>
      <c r="N12" s="29">
        <v>2545</v>
      </c>
      <c r="O12" s="33">
        <f t="shared" si="0"/>
        <v>27198</v>
      </c>
    </row>
    <row r="13" spans="1:15" s="5" customFormat="1" ht="22.5">
      <c r="A13"/>
      <c r="B13" s="21" t="s">
        <v>8</v>
      </c>
      <c r="C13" s="29">
        <v>1377</v>
      </c>
      <c r="D13" s="29">
        <v>1334</v>
      </c>
      <c r="E13" s="29">
        <v>1795</v>
      </c>
      <c r="F13" s="29">
        <v>1708</v>
      </c>
      <c r="G13" s="29">
        <v>1909</v>
      </c>
      <c r="H13" s="29">
        <v>2075</v>
      </c>
      <c r="I13" s="29">
        <v>2011</v>
      </c>
      <c r="J13" s="29">
        <v>1940</v>
      </c>
      <c r="K13" s="29">
        <v>1617</v>
      </c>
      <c r="L13" s="29">
        <v>1950</v>
      </c>
      <c r="M13" s="29">
        <v>2270</v>
      </c>
      <c r="N13" s="29">
        <v>2393</v>
      </c>
      <c r="O13" s="33">
        <f t="shared" si="0"/>
        <v>22379</v>
      </c>
    </row>
    <row r="14" spans="1:15" s="5" customFormat="1" ht="22.5">
      <c r="A14"/>
      <c r="B14" s="21" t="s">
        <v>9</v>
      </c>
      <c r="C14" s="29">
        <v>1487</v>
      </c>
      <c r="D14" s="29">
        <v>2193</v>
      </c>
      <c r="E14" s="29">
        <v>1187</v>
      </c>
      <c r="F14" s="29">
        <v>1350</v>
      </c>
      <c r="G14" s="29">
        <v>1526</v>
      </c>
      <c r="H14" s="29">
        <v>1434</v>
      </c>
      <c r="I14" s="29">
        <v>1662</v>
      </c>
      <c r="J14" s="29">
        <v>1281</v>
      </c>
      <c r="K14" s="29">
        <v>1105</v>
      </c>
      <c r="L14" s="29">
        <v>1476</v>
      </c>
      <c r="M14" s="29">
        <v>1444</v>
      </c>
      <c r="N14" s="29">
        <v>1867</v>
      </c>
      <c r="O14" s="33">
        <f t="shared" si="0"/>
        <v>18012</v>
      </c>
    </row>
    <row r="15" spans="1:15" s="5" customFormat="1" ht="22.5">
      <c r="A15"/>
      <c r="B15" s="21" t="s">
        <v>22</v>
      </c>
      <c r="C15" s="28">
        <f>SUM(C6:C14)</f>
        <v>19020</v>
      </c>
      <c r="D15" s="28">
        <f aca="true" t="shared" si="1" ref="D15:O15">SUM(D6:D14)</f>
        <v>17666</v>
      </c>
      <c r="E15" s="28">
        <f t="shared" si="1"/>
        <v>21214</v>
      </c>
      <c r="F15" s="28">
        <f t="shared" si="1"/>
        <v>19337</v>
      </c>
      <c r="G15" s="28">
        <f t="shared" si="1"/>
        <v>20610</v>
      </c>
      <c r="H15" s="28">
        <f t="shared" si="1"/>
        <v>26115</v>
      </c>
      <c r="I15" s="28">
        <f t="shared" si="1"/>
        <v>23050</v>
      </c>
      <c r="J15" s="28">
        <f t="shared" si="1"/>
        <v>21366</v>
      </c>
      <c r="K15" s="28">
        <f t="shared" si="1"/>
        <v>20086</v>
      </c>
      <c r="L15" s="28">
        <f t="shared" si="1"/>
        <v>20860</v>
      </c>
      <c r="M15" s="28">
        <f t="shared" si="1"/>
        <v>21374</v>
      </c>
      <c r="N15" s="28">
        <f t="shared" si="1"/>
        <v>23840</v>
      </c>
      <c r="O15" s="28">
        <f t="shared" si="1"/>
        <v>254538</v>
      </c>
    </row>
    <row r="16" spans="1:15" s="2" customFormat="1" ht="12.75">
      <c r="A16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2" customFormat="1" ht="14.25">
      <c r="A17"/>
      <c r="B17" s="193" t="s">
        <v>44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2" customFormat="1" ht="12.75">
      <c r="A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5" customFormat="1" ht="45" customHeight="1">
      <c r="A19"/>
      <c r="B19" s="17" t="s">
        <v>25</v>
      </c>
      <c r="C19" s="27" t="s">
        <v>16</v>
      </c>
      <c r="D19" s="27" t="s">
        <v>17</v>
      </c>
      <c r="E19" s="27" t="s">
        <v>18</v>
      </c>
      <c r="F19" s="27" t="s">
        <v>21</v>
      </c>
      <c r="G19" s="27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7" t="s">
        <v>34</v>
      </c>
    </row>
    <row r="20" spans="1:15" s="5" customFormat="1" ht="22.5">
      <c r="A20"/>
      <c r="B20" s="21" t="s">
        <v>1</v>
      </c>
      <c r="C20" s="30">
        <v>919</v>
      </c>
      <c r="D20" s="30">
        <v>960</v>
      </c>
      <c r="E20" s="30">
        <v>1159</v>
      </c>
      <c r="F20" s="30">
        <v>1016</v>
      </c>
      <c r="G20" s="30">
        <v>1056</v>
      </c>
      <c r="H20" s="30">
        <v>1199</v>
      </c>
      <c r="I20" s="30">
        <v>1232</v>
      </c>
      <c r="J20" s="30">
        <v>1073</v>
      </c>
      <c r="K20" s="30">
        <v>1086</v>
      </c>
      <c r="L20" s="30">
        <v>1097</v>
      </c>
      <c r="M20" s="30">
        <v>1163</v>
      </c>
      <c r="N20" s="30">
        <v>1559</v>
      </c>
      <c r="O20" s="31">
        <f aca="true" t="shared" si="2" ref="O20:O28">SUM(C20:N20)</f>
        <v>13519</v>
      </c>
    </row>
    <row r="21" spans="1:15" s="5" customFormat="1" ht="22.5">
      <c r="A21"/>
      <c r="B21" s="21" t="s">
        <v>10</v>
      </c>
      <c r="C21" s="30">
        <v>2173</v>
      </c>
      <c r="D21" s="30">
        <v>2215</v>
      </c>
      <c r="E21" s="30">
        <v>3094</v>
      </c>
      <c r="F21" s="30">
        <v>2652</v>
      </c>
      <c r="G21" s="30">
        <v>2873</v>
      </c>
      <c r="H21" s="30">
        <v>3064</v>
      </c>
      <c r="I21" s="30">
        <v>3101</v>
      </c>
      <c r="J21" s="30">
        <v>2937</v>
      </c>
      <c r="K21" s="30">
        <v>2867</v>
      </c>
      <c r="L21" s="30">
        <v>3063</v>
      </c>
      <c r="M21" s="30">
        <v>2899</v>
      </c>
      <c r="N21" s="30">
        <v>3464</v>
      </c>
      <c r="O21" s="31">
        <f t="shared" si="2"/>
        <v>34402</v>
      </c>
    </row>
    <row r="22" spans="1:15" s="5" customFormat="1" ht="22.5">
      <c r="A22"/>
      <c r="B22" s="21" t="s">
        <v>11</v>
      </c>
      <c r="C22" s="30">
        <v>1240</v>
      </c>
      <c r="D22" s="30">
        <v>1347</v>
      </c>
      <c r="E22" s="30">
        <v>1681</v>
      </c>
      <c r="F22" s="30">
        <v>1564</v>
      </c>
      <c r="G22" s="30">
        <v>1704</v>
      </c>
      <c r="H22" s="30">
        <v>1910</v>
      </c>
      <c r="I22" s="30">
        <v>1729</v>
      </c>
      <c r="J22" s="30">
        <v>1757</v>
      </c>
      <c r="K22" s="30">
        <v>1698</v>
      </c>
      <c r="L22" s="30">
        <v>1827</v>
      </c>
      <c r="M22" s="30">
        <v>1749</v>
      </c>
      <c r="N22" s="30">
        <v>1938</v>
      </c>
      <c r="O22" s="31">
        <f t="shared" si="2"/>
        <v>20144</v>
      </c>
    </row>
    <row r="23" spans="1:15" s="1" customFormat="1" ht="22.5">
      <c r="A23"/>
      <c r="B23" s="21" t="s">
        <v>12</v>
      </c>
      <c r="C23" s="30">
        <v>1522</v>
      </c>
      <c r="D23" s="30">
        <v>1803</v>
      </c>
      <c r="E23" s="30">
        <v>2165</v>
      </c>
      <c r="F23" s="30">
        <v>1898</v>
      </c>
      <c r="G23" s="30">
        <v>2122</v>
      </c>
      <c r="H23" s="30">
        <v>2325</v>
      </c>
      <c r="I23" s="30">
        <v>2697</v>
      </c>
      <c r="J23" s="30">
        <v>1916</v>
      </c>
      <c r="K23" s="30">
        <v>1848</v>
      </c>
      <c r="L23" s="30">
        <v>2139</v>
      </c>
      <c r="M23" s="30">
        <v>2216</v>
      </c>
      <c r="N23" s="30">
        <v>2455</v>
      </c>
      <c r="O23" s="31">
        <f t="shared" si="2"/>
        <v>25106</v>
      </c>
    </row>
    <row r="24" spans="1:15" s="1" customFormat="1" ht="22.5">
      <c r="A24"/>
      <c r="B24" s="21" t="s">
        <v>5</v>
      </c>
      <c r="C24" s="30">
        <v>755</v>
      </c>
      <c r="D24" s="30">
        <v>825</v>
      </c>
      <c r="E24" s="30">
        <v>1116</v>
      </c>
      <c r="F24" s="30">
        <v>886</v>
      </c>
      <c r="G24" s="30">
        <v>969</v>
      </c>
      <c r="H24" s="30">
        <v>1140</v>
      </c>
      <c r="I24" s="30">
        <v>916</v>
      </c>
      <c r="J24" s="30">
        <v>1098</v>
      </c>
      <c r="K24" s="30">
        <v>772</v>
      </c>
      <c r="L24" s="30">
        <v>1016</v>
      </c>
      <c r="M24" s="30">
        <v>1033</v>
      </c>
      <c r="N24" s="30">
        <v>1086</v>
      </c>
      <c r="O24" s="31">
        <f t="shared" si="2"/>
        <v>11612</v>
      </c>
    </row>
    <row r="25" spans="1:15" s="1" customFormat="1" ht="22.5">
      <c r="A25"/>
      <c r="B25" s="21" t="s">
        <v>6</v>
      </c>
      <c r="C25" s="30">
        <v>882</v>
      </c>
      <c r="D25" s="30">
        <v>902</v>
      </c>
      <c r="E25" s="30">
        <v>1163</v>
      </c>
      <c r="F25" s="30">
        <v>1409</v>
      </c>
      <c r="G25" s="30">
        <v>1064</v>
      </c>
      <c r="H25" s="30">
        <v>1096</v>
      </c>
      <c r="I25" s="30">
        <v>1055</v>
      </c>
      <c r="J25" s="30">
        <v>1098</v>
      </c>
      <c r="K25" s="30">
        <v>1015</v>
      </c>
      <c r="L25" s="30">
        <v>1174</v>
      </c>
      <c r="M25" s="30">
        <v>1113</v>
      </c>
      <c r="N25" s="30">
        <v>1137</v>
      </c>
      <c r="O25" s="31">
        <f t="shared" si="2"/>
        <v>13108</v>
      </c>
    </row>
    <row r="26" spans="1:15" s="1" customFormat="1" ht="22.5">
      <c r="A26"/>
      <c r="B26" s="21" t="s">
        <v>13</v>
      </c>
      <c r="C26" s="30">
        <v>775</v>
      </c>
      <c r="D26" s="30">
        <v>873</v>
      </c>
      <c r="E26" s="30">
        <v>1317</v>
      </c>
      <c r="F26" s="30">
        <v>1172</v>
      </c>
      <c r="G26" s="30">
        <v>1302</v>
      </c>
      <c r="H26" s="30">
        <v>1377</v>
      </c>
      <c r="I26" s="30">
        <v>1317</v>
      </c>
      <c r="J26" s="30">
        <v>1644</v>
      </c>
      <c r="K26" s="30">
        <v>1378</v>
      </c>
      <c r="L26" s="30">
        <v>1400</v>
      </c>
      <c r="M26" s="30">
        <v>1371</v>
      </c>
      <c r="N26" s="30">
        <v>1685</v>
      </c>
      <c r="O26" s="31">
        <f t="shared" si="2"/>
        <v>15611</v>
      </c>
    </row>
    <row r="27" spans="1:15" s="1" customFormat="1" ht="22.5">
      <c r="A27"/>
      <c r="B27" s="21" t="s">
        <v>15</v>
      </c>
      <c r="C27" s="30">
        <v>916</v>
      </c>
      <c r="D27" s="30">
        <v>987</v>
      </c>
      <c r="E27" s="30">
        <v>1347</v>
      </c>
      <c r="F27" s="30">
        <v>1204</v>
      </c>
      <c r="G27" s="30">
        <v>1322</v>
      </c>
      <c r="H27" s="30">
        <v>1318</v>
      </c>
      <c r="I27" s="30">
        <v>1180</v>
      </c>
      <c r="J27" s="30">
        <v>1391</v>
      </c>
      <c r="K27" s="30">
        <v>1274</v>
      </c>
      <c r="L27" s="30">
        <v>1334</v>
      </c>
      <c r="M27" s="30">
        <v>1595</v>
      </c>
      <c r="N27" s="30">
        <v>1524</v>
      </c>
      <c r="O27" s="31">
        <f t="shared" si="2"/>
        <v>15392</v>
      </c>
    </row>
    <row r="28" spans="1:15" s="1" customFormat="1" ht="22.5">
      <c r="A28"/>
      <c r="B28" s="21" t="s">
        <v>14</v>
      </c>
      <c r="C28" s="30">
        <v>756</v>
      </c>
      <c r="D28" s="30">
        <v>1185</v>
      </c>
      <c r="E28" s="30">
        <v>1030</v>
      </c>
      <c r="F28" s="30">
        <v>993</v>
      </c>
      <c r="G28" s="30">
        <v>1087</v>
      </c>
      <c r="H28" s="30">
        <v>1056</v>
      </c>
      <c r="I28" s="30">
        <v>1092</v>
      </c>
      <c r="J28" s="30">
        <v>1104</v>
      </c>
      <c r="K28" s="30">
        <v>1011</v>
      </c>
      <c r="L28" s="30">
        <v>1142</v>
      </c>
      <c r="M28" s="30">
        <v>1205</v>
      </c>
      <c r="N28" s="30">
        <v>1374</v>
      </c>
      <c r="O28" s="31">
        <f t="shared" si="2"/>
        <v>13035</v>
      </c>
    </row>
    <row r="29" spans="1:15" s="1" customFormat="1" ht="22.5">
      <c r="A29"/>
      <c r="B29" s="21" t="s">
        <v>22</v>
      </c>
      <c r="C29" s="28">
        <f>SUM(C20:C28)</f>
        <v>9938</v>
      </c>
      <c r="D29" s="28">
        <f aca="true" t="shared" si="3" ref="D29:O29">SUM(D20:D28)</f>
        <v>11097</v>
      </c>
      <c r="E29" s="28">
        <f t="shared" si="3"/>
        <v>14072</v>
      </c>
      <c r="F29" s="28">
        <f t="shared" si="3"/>
        <v>12794</v>
      </c>
      <c r="G29" s="28">
        <f t="shared" si="3"/>
        <v>13499</v>
      </c>
      <c r="H29" s="28">
        <f t="shared" si="3"/>
        <v>14485</v>
      </c>
      <c r="I29" s="28">
        <f t="shared" si="3"/>
        <v>14319</v>
      </c>
      <c r="J29" s="28">
        <f t="shared" si="3"/>
        <v>14018</v>
      </c>
      <c r="K29" s="28">
        <f t="shared" si="3"/>
        <v>12949</v>
      </c>
      <c r="L29" s="28">
        <f t="shared" si="3"/>
        <v>14192</v>
      </c>
      <c r="M29" s="28">
        <f t="shared" si="3"/>
        <v>14344</v>
      </c>
      <c r="N29" s="28">
        <f t="shared" si="3"/>
        <v>16222</v>
      </c>
      <c r="O29" s="28">
        <f t="shared" si="3"/>
        <v>161929</v>
      </c>
    </row>
    <row r="31" spans="2:15" ht="12.7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4.25">
      <c r="B32" s="193" t="s">
        <v>45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</row>
    <row r="33" spans="2:15" ht="14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4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25.5">
      <c r="B35" s="17" t="s">
        <v>25</v>
      </c>
      <c r="C35" s="27" t="s">
        <v>16</v>
      </c>
      <c r="D35" s="27" t="s">
        <v>17</v>
      </c>
      <c r="E35" s="27" t="s">
        <v>18</v>
      </c>
      <c r="F35" s="27" t="s">
        <v>21</v>
      </c>
      <c r="G35" s="27" t="s">
        <v>26</v>
      </c>
      <c r="H35" s="27" t="s">
        <v>27</v>
      </c>
      <c r="I35" s="27" t="s">
        <v>28</v>
      </c>
      <c r="J35" s="27" t="s">
        <v>29</v>
      </c>
      <c r="K35" s="27" t="s">
        <v>30</v>
      </c>
      <c r="L35" s="27" t="s">
        <v>31</v>
      </c>
      <c r="M35" s="27" t="s">
        <v>32</v>
      </c>
      <c r="N35" s="27" t="s">
        <v>33</v>
      </c>
      <c r="O35" s="27" t="s">
        <v>34</v>
      </c>
    </row>
    <row r="36" spans="2:15" ht="22.5">
      <c r="B36" s="21" t="s">
        <v>1</v>
      </c>
      <c r="C36" s="30">
        <v>21</v>
      </c>
      <c r="D36" s="30">
        <v>14</v>
      </c>
      <c r="E36" s="30">
        <v>41</v>
      </c>
      <c r="F36" s="30">
        <v>29</v>
      </c>
      <c r="G36" s="30">
        <v>61</v>
      </c>
      <c r="H36" s="30">
        <v>36</v>
      </c>
      <c r="I36" s="30">
        <v>57</v>
      </c>
      <c r="J36" s="30">
        <v>37</v>
      </c>
      <c r="K36" s="30">
        <v>23</v>
      </c>
      <c r="L36" s="30">
        <v>14</v>
      </c>
      <c r="M36" s="30">
        <v>15</v>
      </c>
      <c r="N36" s="30">
        <v>25</v>
      </c>
      <c r="O36" s="31">
        <f aca="true" t="shared" si="4" ref="O36:O44">SUM(C36:N36)</f>
        <v>373</v>
      </c>
    </row>
    <row r="37" spans="2:15" ht="22.5">
      <c r="B37" s="21" t="s">
        <v>2</v>
      </c>
      <c r="C37" s="30">
        <v>91</v>
      </c>
      <c r="D37" s="30">
        <v>160</v>
      </c>
      <c r="E37" s="30">
        <v>106</v>
      </c>
      <c r="F37" s="30">
        <v>147</v>
      </c>
      <c r="G37" s="30">
        <v>60</v>
      </c>
      <c r="H37" s="30">
        <v>108</v>
      </c>
      <c r="I37" s="30">
        <v>101</v>
      </c>
      <c r="J37" s="30">
        <v>185</v>
      </c>
      <c r="K37" s="30">
        <v>77</v>
      </c>
      <c r="L37" s="30">
        <v>97</v>
      </c>
      <c r="M37" s="30">
        <v>78</v>
      </c>
      <c r="N37" s="30">
        <v>67</v>
      </c>
      <c r="O37" s="31">
        <f t="shared" si="4"/>
        <v>1277</v>
      </c>
    </row>
    <row r="38" spans="2:15" ht="22.5">
      <c r="B38" s="21" t="s">
        <v>3</v>
      </c>
      <c r="C38" s="30">
        <v>73</v>
      </c>
      <c r="D38" s="30">
        <v>66</v>
      </c>
      <c r="E38" s="30">
        <v>51</v>
      </c>
      <c r="F38" s="30">
        <v>78</v>
      </c>
      <c r="G38" s="30">
        <v>32</v>
      </c>
      <c r="H38" s="30">
        <v>78</v>
      </c>
      <c r="I38" s="30">
        <v>50</v>
      </c>
      <c r="J38" s="30">
        <v>54</v>
      </c>
      <c r="K38" s="30">
        <v>33</v>
      </c>
      <c r="L38" s="30">
        <v>134</v>
      </c>
      <c r="M38" s="30">
        <v>84</v>
      </c>
      <c r="N38" s="30">
        <v>64</v>
      </c>
      <c r="O38" s="31">
        <f t="shared" si="4"/>
        <v>797</v>
      </c>
    </row>
    <row r="39" spans="2:15" ht="22.5">
      <c r="B39" s="21" t="s">
        <v>4</v>
      </c>
      <c r="C39" s="30">
        <v>29</v>
      </c>
      <c r="D39" s="30">
        <v>40</v>
      </c>
      <c r="E39" s="30">
        <v>48</v>
      </c>
      <c r="F39" s="30">
        <v>35</v>
      </c>
      <c r="G39" s="30">
        <v>38</v>
      </c>
      <c r="H39" s="30">
        <v>57</v>
      </c>
      <c r="I39" s="30">
        <v>17</v>
      </c>
      <c r="J39" s="30">
        <v>61</v>
      </c>
      <c r="K39" s="30">
        <v>70</v>
      </c>
      <c r="L39" s="30">
        <v>27</v>
      </c>
      <c r="M39" s="30">
        <v>105</v>
      </c>
      <c r="N39" s="30">
        <v>82</v>
      </c>
      <c r="O39" s="31">
        <f t="shared" si="4"/>
        <v>609</v>
      </c>
    </row>
    <row r="40" spans="2:15" ht="22.5">
      <c r="B40" s="21" t="s">
        <v>5</v>
      </c>
      <c r="C40" s="30">
        <v>53</v>
      </c>
      <c r="D40" s="30">
        <v>30</v>
      </c>
      <c r="E40" s="30">
        <v>82</v>
      </c>
      <c r="F40" s="30">
        <v>68</v>
      </c>
      <c r="G40" s="30">
        <v>51</v>
      </c>
      <c r="H40" s="30">
        <v>64</v>
      </c>
      <c r="I40" s="30">
        <v>47</v>
      </c>
      <c r="J40" s="30">
        <v>49</v>
      </c>
      <c r="K40" s="30">
        <v>36</v>
      </c>
      <c r="L40" s="30">
        <v>49</v>
      </c>
      <c r="M40" s="30">
        <v>61</v>
      </c>
      <c r="N40" s="30">
        <v>94</v>
      </c>
      <c r="O40" s="31">
        <f t="shared" si="4"/>
        <v>684</v>
      </c>
    </row>
    <row r="41" spans="2:15" ht="22.5">
      <c r="B41" s="21" t="s">
        <v>6</v>
      </c>
      <c r="C41" s="30">
        <v>22</v>
      </c>
      <c r="D41" s="30">
        <v>10</v>
      </c>
      <c r="E41" s="30">
        <v>2</v>
      </c>
      <c r="F41" s="30">
        <v>6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7</v>
      </c>
      <c r="M41" s="30">
        <v>7</v>
      </c>
      <c r="N41" s="30">
        <v>11</v>
      </c>
      <c r="O41" s="31">
        <f t="shared" si="4"/>
        <v>65</v>
      </c>
    </row>
    <row r="42" spans="2:15" ht="22.5">
      <c r="B42" s="21" t="s">
        <v>7</v>
      </c>
      <c r="C42" s="30">
        <v>72</v>
      </c>
      <c r="D42" s="30">
        <v>51</v>
      </c>
      <c r="E42" s="30">
        <v>59</v>
      </c>
      <c r="F42" s="30">
        <v>44</v>
      </c>
      <c r="G42" s="30">
        <v>99</v>
      </c>
      <c r="H42" s="30">
        <v>88</v>
      </c>
      <c r="I42" s="30">
        <v>96</v>
      </c>
      <c r="J42" s="30">
        <v>76</v>
      </c>
      <c r="K42" s="30">
        <v>83</v>
      </c>
      <c r="L42" s="30">
        <v>64</v>
      </c>
      <c r="M42" s="30">
        <v>117</v>
      </c>
      <c r="N42" s="30">
        <v>65</v>
      </c>
      <c r="O42" s="31">
        <f t="shared" si="4"/>
        <v>914</v>
      </c>
    </row>
    <row r="43" spans="2:15" ht="22.5">
      <c r="B43" s="21" t="s">
        <v>8</v>
      </c>
      <c r="C43" s="30">
        <v>53</v>
      </c>
      <c r="D43" s="30">
        <v>71</v>
      </c>
      <c r="E43" s="30">
        <v>73</v>
      </c>
      <c r="F43" s="30">
        <v>52</v>
      </c>
      <c r="G43" s="30">
        <v>52</v>
      </c>
      <c r="H43" s="30">
        <v>98</v>
      </c>
      <c r="I43" s="30">
        <v>59</v>
      </c>
      <c r="J43" s="30">
        <v>46</v>
      </c>
      <c r="K43" s="30">
        <v>74</v>
      </c>
      <c r="L43" s="30">
        <v>126</v>
      </c>
      <c r="M43" s="30">
        <v>144</v>
      </c>
      <c r="N43" s="30">
        <v>110</v>
      </c>
      <c r="O43" s="31">
        <f t="shared" si="4"/>
        <v>958</v>
      </c>
    </row>
    <row r="44" spans="2:15" ht="22.5">
      <c r="B44" s="21" t="s">
        <v>9</v>
      </c>
      <c r="C44" s="30">
        <v>25</v>
      </c>
      <c r="D44" s="30">
        <v>50</v>
      </c>
      <c r="E44" s="30">
        <v>73</v>
      </c>
      <c r="F44" s="30">
        <v>38</v>
      </c>
      <c r="G44" s="30">
        <v>66</v>
      </c>
      <c r="H44" s="30">
        <v>38</v>
      </c>
      <c r="I44" s="30">
        <v>66</v>
      </c>
      <c r="J44" s="30">
        <v>48</v>
      </c>
      <c r="K44" s="30">
        <v>23</v>
      </c>
      <c r="L44" s="30">
        <v>57</v>
      </c>
      <c r="M44" s="30">
        <v>45</v>
      </c>
      <c r="N44" s="30">
        <v>89</v>
      </c>
      <c r="O44" s="31">
        <f t="shared" si="4"/>
        <v>618</v>
      </c>
    </row>
    <row r="45" spans="2:15" ht="22.5">
      <c r="B45" s="21" t="s">
        <v>22</v>
      </c>
      <c r="C45" s="28">
        <f>SUM(C36:C44)</f>
        <v>439</v>
      </c>
      <c r="D45" s="28">
        <f aca="true" t="shared" si="5" ref="D45:O45">SUM(D36:D44)</f>
        <v>492</v>
      </c>
      <c r="E45" s="28">
        <f t="shared" si="5"/>
        <v>535</v>
      </c>
      <c r="F45" s="28">
        <f t="shared" si="5"/>
        <v>497</v>
      </c>
      <c r="G45" s="28">
        <f t="shared" si="5"/>
        <v>459</v>
      </c>
      <c r="H45" s="28">
        <f t="shared" si="5"/>
        <v>567</v>
      </c>
      <c r="I45" s="28">
        <f t="shared" si="5"/>
        <v>493</v>
      </c>
      <c r="J45" s="28">
        <f t="shared" si="5"/>
        <v>556</v>
      </c>
      <c r="K45" s="28">
        <f t="shared" si="5"/>
        <v>419</v>
      </c>
      <c r="L45" s="28">
        <f t="shared" si="5"/>
        <v>575</v>
      </c>
      <c r="M45" s="28">
        <f t="shared" si="5"/>
        <v>656</v>
      </c>
      <c r="N45" s="28">
        <f t="shared" si="5"/>
        <v>607</v>
      </c>
      <c r="O45" s="28">
        <f t="shared" si="5"/>
        <v>6295</v>
      </c>
    </row>
    <row r="46" spans="2:15" ht="12.7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3" ht="12.75">
      <c r="A47" s="194" t="s">
        <v>64</v>
      </c>
      <c r="B47" s="194"/>
      <c r="C47" s="194"/>
    </row>
  </sheetData>
  <sheetProtection/>
  <mergeCells count="4">
    <mergeCell ref="B2:O2"/>
    <mergeCell ref="B17:O17"/>
    <mergeCell ref="B32:O32"/>
    <mergeCell ref="A47:C4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rightToLeft="1" zoomScalePageLayoutView="0" workbookViewId="0" topLeftCell="A16">
      <selection activeCell="R19" sqref="R19"/>
    </sheetView>
  </sheetViews>
  <sheetFormatPr defaultColWidth="9.140625" defaultRowHeight="12.75"/>
  <cols>
    <col min="1" max="1" width="3.421875" style="0" customWidth="1"/>
    <col min="2" max="2" width="22.140625" style="0" customWidth="1"/>
    <col min="11" max="11" width="12.421875" style="0" customWidth="1"/>
    <col min="14" max="14" width="10.28125" style="0" bestFit="1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193" t="s">
        <v>46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s="1" customFormat="1" ht="15" customHeight="1">
      <c r="A3" s="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15" customHeight="1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74.25" customHeight="1">
      <c r="A5" s="3"/>
      <c r="B5" s="17" t="s">
        <v>25</v>
      </c>
      <c r="C5" s="27" t="s">
        <v>16</v>
      </c>
      <c r="D5" s="27" t="s">
        <v>17</v>
      </c>
      <c r="E5" s="27" t="s">
        <v>18</v>
      </c>
      <c r="F5" s="27" t="s">
        <v>21</v>
      </c>
      <c r="G5" s="27" t="s">
        <v>26</v>
      </c>
      <c r="H5" s="27" t="s">
        <v>27</v>
      </c>
      <c r="I5" s="27" t="s">
        <v>28</v>
      </c>
      <c r="J5" s="27" t="s">
        <v>29</v>
      </c>
      <c r="K5" s="27" t="s">
        <v>30</v>
      </c>
      <c r="L5" s="27" t="s">
        <v>31</v>
      </c>
      <c r="M5" s="27" t="s">
        <v>32</v>
      </c>
      <c r="N5" s="27" t="s">
        <v>33</v>
      </c>
      <c r="O5" s="27" t="s">
        <v>34</v>
      </c>
    </row>
    <row r="6" spans="1:15" s="7" customFormat="1" ht="22.5">
      <c r="A6"/>
      <c r="B6" s="21" t="s">
        <v>1</v>
      </c>
      <c r="C6" s="30">
        <v>26285</v>
      </c>
      <c r="D6" s="30">
        <v>9559</v>
      </c>
      <c r="E6" s="30">
        <v>13706</v>
      </c>
      <c r="F6" s="30">
        <v>14540</v>
      </c>
      <c r="G6" s="30">
        <v>15932</v>
      </c>
      <c r="H6" s="30">
        <v>16142</v>
      </c>
      <c r="I6" s="30">
        <v>24280</v>
      </c>
      <c r="J6" s="30">
        <v>13753</v>
      </c>
      <c r="K6" s="30">
        <v>13135</v>
      </c>
      <c r="L6" s="30">
        <v>14567</v>
      </c>
      <c r="M6" s="30">
        <v>16733</v>
      </c>
      <c r="N6" s="30">
        <v>30155</v>
      </c>
      <c r="O6" s="31">
        <f aca="true" t="shared" si="0" ref="O6:O14">SUM(C6:N6)</f>
        <v>208787</v>
      </c>
    </row>
    <row r="7" spans="1:15" s="5" customFormat="1" ht="22.5">
      <c r="A7"/>
      <c r="B7" s="21" t="s">
        <v>2</v>
      </c>
      <c r="C7" s="30">
        <v>12042</v>
      </c>
      <c r="D7" s="30">
        <v>12239</v>
      </c>
      <c r="E7" s="30">
        <v>14476</v>
      </c>
      <c r="F7" s="30">
        <v>13515</v>
      </c>
      <c r="G7" s="30">
        <v>14417</v>
      </c>
      <c r="H7" s="30">
        <v>15459</v>
      </c>
      <c r="I7" s="30">
        <v>15943</v>
      </c>
      <c r="J7" s="30">
        <v>16307</v>
      </c>
      <c r="K7" s="30">
        <v>13503</v>
      </c>
      <c r="L7" s="30">
        <v>18614</v>
      </c>
      <c r="M7" s="30">
        <v>13696</v>
      </c>
      <c r="N7" s="30">
        <v>22802</v>
      </c>
      <c r="O7" s="31">
        <f t="shared" si="0"/>
        <v>183013</v>
      </c>
    </row>
    <row r="8" spans="1:15" s="5" customFormat="1" ht="22.5">
      <c r="A8"/>
      <c r="B8" s="21" t="s">
        <v>3</v>
      </c>
      <c r="C8" s="30">
        <v>5909</v>
      </c>
      <c r="D8" s="30">
        <v>4865</v>
      </c>
      <c r="E8" s="30">
        <v>6633</v>
      </c>
      <c r="F8" s="30">
        <v>7772</v>
      </c>
      <c r="G8" s="30">
        <v>8965</v>
      </c>
      <c r="H8" s="30">
        <v>10505</v>
      </c>
      <c r="I8" s="30">
        <v>7898</v>
      </c>
      <c r="J8" s="30">
        <v>8361</v>
      </c>
      <c r="K8" s="30">
        <v>8636</v>
      </c>
      <c r="L8" s="30">
        <v>9009</v>
      </c>
      <c r="M8" s="30">
        <v>9648</v>
      </c>
      <c r="N8" s="30">
        <v>10035</v>
      </c>
      <c r="O8" s="31">
        <f t="shared" si="0"/>
        <v>98236</v>
      </c>
    </row>
    <row r="9" spans="1:15" s="5" customFormat="1" ht="22.5">
      <c r="A9"/>
      <c r="B9" s="21" t="s">
        <v>4</v>
      </c>
      <c r="C9" s="30">
        <v>11754</v>
      </c>
      <c r="D9" s="30">
        <v>11318</v>
      </c>
      <c r="E9" s="30">
        <v>12770</v>
      </c>
      <c r="F9" s="30">
        <v>13174</v>
      </c>
      <c r="G9" s="30">
        <v>13768</v>
      </c>
      <c r="H9" s="30">
        <v>13429</v>
      </c>
      <c r="I9" s="30">
        <v>13828</v>
      </c>
      <c r="J9" s="30">
        <v>12820</v>
      </c>
      <c r="K9" s="30">
        <v>13316</v>
      </c>
      <c r="L9" s="30">
        <v>13316</v>
      </c>
      <c r="M9" s="30">
        <v>11995</v>
      </c>
      <c r="N9" s="30">
        <v>17398</v>
      </c>
      <c r="O9" s="31">
        <f t="shared" si="0"/>
        <v>158886</v>
      </c>
    </row>
    <row r="10" spans="1:15" s="5" customFormat="1" ht="22.5">
      <c r="A10"/>
      <c r="B10" s="21" t="s">
        <v>5</v>
      </c>
      <c r="C10" s="30">
        <v>2215</v>
      </c>
      <c r="D10" s="30">
        <v>1506</v>
      </c>
      <c r="E10" s="30">
        <v>2164</v>
      </c>
      <c r="F10" s="30">
        <v>1701</v>
      </c>
      <c r="G10" s="30">
        <v>1871</v>
      </c>
      <c r="H10" s="30">
        <v>2365</v>
      </c>
      <c r="I10" s="30">
        <v>1947</v>
      </c>
      <c r="J10" s="30">
        <v>2451</v>
      </c>
      <c r="K10" s="30">
        <v>2486</v>
      </c>
      <c r="L10" s="30">
        <v>3591</v>
      </c>
      <c r="M10" s="30">
        <v>2186</v>
      </c>
      <c r="N10" s="30">
        <v>2857</v>
      </c>
      <c r="O10" s="31">
        <f t="shared" si="0"/>
        <v>27340</v>
      </c>
    </row>
    <row r="11" spans="1:15" s="5" customFormat="1" ht="22.5">
      <c r="A11"/>
      <c r="B11" s="21" t="s">
        <v>6</v>
      </c>
      <c r="C11" s="30">
        <v>2352</v>
      </c>
      <c r="D11" s="30">
        <v>2060</v>
      </c>
      <c r="E11" s="30">
        <v>3849</v>
      </c>
      <c r="F11" s="30">
        <v>2962</v>
      </c>
      <c r="G11" s="30">
        <v>3330</v>
      </c>
      <c r="H11" s="30">
        <v>3366</v>
      </c>
      <c r="I11" s="30">
        <v>3263</v>
      </c>
      <c r="J11" s="30">
        <v>3625</v>
      </c>
      <c r="K11" s="30">
        <v>3573</v>
      </c>
      <c r="L11" s="30">
        <v>3274</v>
      </c>
      <c r="M11" s="30">
        <v>3252</v>
      </c>
      <c r="N11" s="30">
        <v>3645</v>
      </c>
      <c r="O11" s="31">
        <f t="shared" si="0"/>
        <v>38551</v>
      </c>
    </row>
    <row r="12" spans="1:15" s="5" customFormat="1" ht="22.5">
      <c r="A12"/>
      <c r="B12" s="21" t="s">
        <v>7</v>
      </c>
      <c r="C12" s="30">
        <v>1607</v>
      </c>
      <c r="D12" s="30">
        <v>1543</v>
      </c>
      <c r="E12" s="30">
        <v>3098</v>
      </c>
      <c r="F12" s="30">
        <v>2127</v>
      </c>
      <c r="G12" s="30">
        <v>2884</v>
      </c>
      <c r="H12" s="30">
        <v>2671</v>
      </c>
      <c r="I12" s="30">
        <v>3785</v>
      </c>
      <c r="J12" s="30">
        <v>2990</v>
      </c>
      <c r="K12" s="30">
        <v>2753</v>
      </c>
      <c r="L12" s="30">
        <v>2472</v>
      </c>
      <c r="M12" s="30">
        <v>2635</v>
      </c>
      <c r="N12" s="30">
        <v>3189</v>
      </c>
      <c r="O12" s="31">
        <f t="shared" si="0"/>
        <v>31754</v>
      </c>
    </row>
    <row r="13" spans="1:15" s="5" customFormat="1" ht="22.5">
      <c r="A13"/>
      <c r="B13" s="21" t="s">
        <v>8</v>
      </c>
      <c r="C13" s="30">
        <v>3262</v>
      </c>
      <c r="D13" s="30">
        <v>2815</v>
      </c>
      <c r="E13" s="30">
        <v>4830</v>
      </c>
      <c r="F13" s="30">
        <v>4132</v>
      </c>
      <c r="G13" s="30">
        <v>4513</v>
      </c>
      <c r="H13" s="30">
        <v>3737</v>
      </c>
      <c r="I13" s="30">
        <v>3238</v>
      </c>
      <c r="J13" s="30">
        <v>4726</v>
      </c>
      <c r="K13" s="30">
        <v>4953</v>
      </c>
      <c r="L13" s="30">
        <v>4667</v>
      </c>
      <c r="M13" s="30">
        <v>6572</v>
      </c>
      <c r="N13" s="30">
        <v>5236</v>
      </c>
      <c r="O13" s="31">
        <f t="shared" si="0"/>
        <v>52681</v>
      </c>
    </row>
    <row r="14" spans="1:15" s="5" customFormat="1" ht="22.5">
      <c r="A14"/>
      <c r="B14" s="21" t="s">
        <v>9</v>
      </c>
      <c r="C14" s="30">
        <v>1736</v>
      </c>
      <c r="D14" s="30">
        <v>1715</v>
      </c>
      <c r="E14" s="30">
        <v>1700</v>
      </c>
      <c r="F14" s="30">
        <v>2283</v>
      </c>
      <c r="G14" s="30">
        <v>2154</v>
      </c>
      <c r="H14" s="30">
        <v>2092</v>
      </c>
      <c r="I14" s="30">
        <v>1921</v>
      </c>
      <c r="J14" s="30">
        <v>2432</v>
      </c>
      <c r="K14" s="30">
        <v>2237</v>
      </c>
      <c r="L14" s="30">
        <v>2059</v>
      </c>
      <c r="M14" s="30">
        <v>2554</v>
      </c>
      <c r="N14" s="30">
        <v>3260</v>
      </c>
      <c r="O14" s="31">
        <f t="shared" si="0"/>
        <v>26143</v>
      </c>
    </row>
    <row r="15" spans="1:15" s="5" customFormat="1" ht="22.5">
      <c r="A15"/>
      <c r="B15" s="21" t="s">
        <v>22</v>
      </c>
      <c r="C15" s="28">
        <f aca="true" t="shared" si="1" ref="C15:O15">SUM(C6:C14)</f>
        <v>67162</v>
      </c>
      <c r="D15" s="28">
        <f t="shared" si="1"/>
        <v>47620</v>
      </c>
      <c r="E15" s="28">
        <f t="shared" si="1"/>
        <v>63226</v>
      </c>
      <c r="F15" s="28">
        <f t="shared" si="1"/>
        <v>62206</v>
      </c>
      <c r="G15" s="28">
        <f t="shared" si="1"/>
        <v>67834</v>
      </c>
      <c r="H15" s="28">
        <f t="shared" si="1"/>
        <v>69766</v>
      </c>
      <c r="I15" s="28">
        <f t="shared" si="1"/>
        <v>76103</v>
      </c>
      <c r="J15" s="28">
        <f t="shared" si="1"/>
        <v>67465</v>
      </c>
      <c r="K15" s="28">
        <f t="shared" si="1"/>
        <v>64592</v>
      </c>
      <c r="L15" s="28">
        <f t="shared" si="1"/>
        <v>71569</v>
      </c>
      <c r="M15" s="28">
        <f t="shared" si="1"/>
        <v>69271</v>
      </c>
      <c r="N15" s="28">
        <f t="shared" si="1"/>
        <v>98577</v>
      </c>
      <c r="O15" s="28">
        <f t="shared" si="1"/>
        <v>825391</v>
      </c>
    </row>
    <row r="16" spans="1:15" s="2" customFormat="1" ht="12.75">
      <c r="A16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2" customFormat="1" ht="14.25">
      <c r="A17"/>
      <c r="B17" s="193" t="s">
        <v>47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2" customFormat="1" ht="12.75">
      <c r="A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5" customFormat="1" ht="45" customHeight="1">
      <c r="A19"/>
      <c r="B19" s="17" t="s">
        <v>25</v>
      </c>
      <c r="C19" s="27" t="s">
        <v>16</v>
      </c>
      <c r="D19" s="27" t="s">
        <v>17</v>
      </c>
      <c r="E19" s="27" t="s">
        <v>18</v>
      </c>
      <c r="F19" s="27" t="s">
        <v>21</v>
      </c>
      <c r="G19" s="27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7" t="s">
        <v>34</v>
      </c>
    </row>
    <row r="20" spans="1:15" s="5" customFormat="1" ht="22.5">
      <c r="A20"/>
      <c r="B20" s="21" t="s">
        <v>1</v>
      </c>
      <c r="C20" s="30">
        <v>2949</v>
      </c>
      <c r="D20" s="30">
        <v>521</v>
      </c>
      <c r="E20" s="30">
        <v>2899</v>
      </c>
      <c r="F20" s="30">
        <v>1769</v>
      </c>
      <c r="G20" s="30">
        <v>770</v>
      </c>
      <c r="H20" s="30">
        <v>2770</v>
      </c>
      <c r="I20" s="30">
        <v>3602</v>
      </c>
      <c r="J20" s="30">
        <v>1568</v>
      </c>
      <c r="K20" s="30">
        <v>1396</v>
      </c>
      <c r="L20" s="30">
        <v>1763</v>
      </c>
      <c r="M20" s="30">
        <v>849</v>
      </c>
      <c r="N20" s="30">
        <v>2000</v>
      </c>
      <c r="O20" s="31">
        <f aca="true" t="shared" si="2" ref="O20:O28">SUM(C20:N20)</f>
        <v>22856</v>
      </c>
    </row>
    <row r="21" spans="1:15" s="5" customFormat="1" ht="22.5">
      <c r="A21"/>
      <c r="B21" s="21" t="s">
        <v>10</v>
      </c>
      <c r="C21" s="30">
        <v>435</v>
      </c>
      <c r="D21" s="30">
        <v>682</v>
      </c>
      <c r="E21" s="30">
        <v>945</v>
      </c>
      <c r="F21" s="30">
        <v>723</v>
      </c>
      <c r="G21" s="30">
        <v>595</v>
      </c>
      <c r="H21" s="30">
        <v>478</v>
      </c>
      <c r="I21" s="30">
        <v>1001</v>
      </c>
      <c r="J21" s="30">
        <v>736</v>
      </c>
      <c r="K21" s="30">
        <v>892</v>
      </c>
      <c r="L21" s="30">
        <v>519</v>
      </c>
      <c r="M21" s="30">
        <v>586</v>
      </c>
      <c r="N21" s="30">
        <v>674</v>
      </c>
      <c r="O21" s="31">
        <f t="shared" si="2"/>
        <v>8266</v>
      </c>
    </row>
    <row r="22" spans="1:15" s="5" customFormat="1" ht="22.5">
      <c r="A22"/>
      <c r="B22" s="21" t="s">
        <v>11</v>
      </c>
      <c r="C22" s="30">
        <v>216</v>
      </c>
      <c r="D22" s="30">
        <v>92</v>
      </c>
      <c r="E22" s="30">
        <v>114</v>
      </c>
      <c r="F22" s="30">
        <v>269</v>
      </c>
      <c r="G22" s="30">
        <v>504</v>
      </c>
      <c r="H22" s="30">
        <v>188</v>
      </c>
      <c r="I22" s="30">
        <v>241</v>
      </c>
      <c r="J22" s="30">
        <v>228</v>
      </c>
      <c r="K22" s="30">
        <v>240</v>
      </c>
      <c r="L22" s="30">
        <v>90</v>
      </c>
      <c r="M22" s="30">
        <v>411</v>
      </c>
      <c r="N22" s="30">
        <v>188</v>
      </c>
      <c r="O22" s="31">
        <f t="shared" si="2"/>
        <v>2781</v>
      </c>
    </row>
    <row r="23" spans="1:15" s="1" customFormat="1" ht="22.5">
      <c r="A23"/>
      <c r="B23" s="21" t="s">
        <v>12</v>
      </c>
      <c r="C23" s="30">
        <v>795</v>
      </c>
      <c r="D23" s="30">
        <v>236</v>
      </c>
      <c r="E23" s="30">
        <v>426</v>
      </c>
      <c r="F23" s="30">
        <v>316</v>
      </c>
      <c r="G23" s="30">
        <v>520</v>
      </c>
      <c r="H23" s="30">
        <v>411</v>
      </c>
      <c r="I23" s="30">
        <v>278</v>
      </c>
      <c r="J23" s="30">
        <v>221</v>
      </c>
      <c r="K23" s="30">
        <v>459</v>
      </c>
      <c r="L23" s="30">
        <v>506</v>
      </c>
      <c r="M23" s="30">
        <v>726</v>
      </c>
      <c r="N23" s="30">
        <v>589</v>
      </c>
      <c r="O23" s="31">
        <f t="shared" si="2"/>
        <v>5483</v>
      </c>
    </row>
    <row r="24" spans="1:15" s="1" customFormat="1" ht="22.5">
      <c r="A24"/>
      <c r="B24" s="21" t="s">
        <v>5</v>
      </c>
      <c r="C24" s="30">
        <v>26</v>
      </c>
      <c r="D24" s="30">
        <v>20</v>
      </c>
      <c r="E24" s="30">
        <v>31</v>
      </c>
      <c r="F24" s="30">
        <v>45</v>
      </c>
      <c r="G24" s="30">
        <v>24</v>
      </c>
      <c r="H24" s="30">
        <v>13</v>
      </c>
      <c r="I24" s="30">
        <v>48</v>
      </c>
      <c r="J24" s="30">
        <v>55</v>
      </c>
      <c r="K24" s="30">
        <v>22</v>
      </c>
      <c r="L24" s="30">
        <v>12</v>
      </c>
      <c r="M24" s="30">
        <v>24</v>
      </c>
      <c r="N24" s="30">
        <v>20</v>
      </c>
      <c r="O24" s="31">
        <f t="shared" si="2"/>
        <v>340</v>
      </c>
    </row>
    <row r="25" spans="1:15" s="1" customFormat="1" ht="22.5">
      <c r="A25"/>
      <c r="B25" s="21" t="s">
        <v>6</v>
      </c>
      <c r="C25" s="30">
        <v>6</v>
      </c>
      <c r="D25" s="30">
        <v>6</v>
      </c>
      <c r="E25" s="30">
        <v>39</v>
      </c>
      <c r="F25" s="30">
        <v>19</v>
      </c>
      <c r="G25" s="30">
        <v>15</v>
      </c>
      <c r="H25" s="30">
        <v>4</v>
      </c>
      <c r="I25" s="30">
        <v>5</v>
      </c>
      <c r="J25" s="30">
        <v>44</v>
      </c>
      <c r="K25" s="30">
        <v>0</v>
      </c>
      <c r="L25" s="30">
        <v>7</v>
      </c>
      <c r="M25" s="30">
        <v>33</v>
      </c>
      <c r="N25" s="30">
        <v>78</v>
      </c>
      <c r="O25" s="31">
        <f t="shared" si="2"/>
        <v>256</v>
      </c>
    </row>
    <row r="26" spans="1:15" s="1" customFormat="1" ht="22.5">
      <c r="A26"/>
      <c r="B26" s="21" t="s">
        <v>13</v>
      </c>
      <c r="C26" s="30">
        <v>7574</v>
      </c>
      <c r="D26" s="30">
        <v>24</v>
      </c>
      <c r="E26" s="30">
        <v>149</v>
      </c>
      <c r="F26" s="30">
        <v>53</v>
      </c>
      <c r="G26" s="30">
        <v>91</v>
      </c>
      <c r="H26" s="30">
        <v>51</v>
      </c>
      <c r="I26" s="30">
        <v>57</v>
      </c>
      <c r="J26" s="30">
        <v>123</v>
      </c>
      <c r="K26" s="30">
        <v>11</v>
      </c>
      <c r="L26" s="30">
        <v>48</v>
      </c>
      <c r="M26" s="30">
        <v>95</v>
      </c>
      <c r="N26" s="30">
        <v>46</v>
      </c>
      <c r="O26" s="31">
        <f t="shared" si="2"/>
        <v>8322</v>
      </c>
    </row>
    <row r="27" spans="1:15" s="1" customFormat="1" ht="22.5">
      <c r="A27"/>
      <c r="B27" s="21" t="s">
        <v>15</v>
      </c>
      <c r="C27" s="30">
        <v>92</v>
      </c>
      <c r="D27" s="30">
        <v>117</v>
      </c>
      <c r="E27" s="30">
        <v>115</v>
      </c>
      <c r="F27" s="30">
        <v>103</v>
      </c>
      <c r="G27" s="30">
        <v>94</v>
      </c>
      <c r="H27" s="30">
        <v>129</v>
      </c>
      <c r="I27" s="30">
        <v>51</v>
      </c>
      <c r="J27" s="30">
        <v>117</v>
      </c>
      <c r="K27" s="30">
        <v>94</v>
      </c>
      <c r="L27" s="30">
        <v>147</v>
      </c>
      <c r="M27" s="30">
        <v>102</v>
      </c>
      <c r="N27" s="30">
        <v>144</v>
      </c>
      <c r="O27" s="31">
        <f t="shared" si="2"/>
        <v>1305</v>
      </c>
    </row>
    <row r="28" spans="1:15" s="1" customFormat="1" ht="22.5">
      <c r="A28"/>
      <c r="B28" s="21" t="s">
        <v>14</v>
      </c>
      <c r="C28" s="30">
        <v>2214</v>
      </c>
      <c r="D28" s="30">
        <v>5</v>
      </c>
      <c r="E28" s="30">
        <v>0</v>
      </c>
      <c r="F28" s="30">
        <v>11</v>
      </c>
      <c r="G28" s="30">
        <v>0</v>
      </c>
      <c r="H28" s="30">
        <v>0</v>
      </c>
      <c r="I28" s="30">
        <v>7</v>
      </c>
      <c r="J28" s="30">
        <v>0</v>
      </c>
      <c r="K28" s="30">
        <v>9</v>
      </c>
      <c r="L28" s="30">
        <v>16</v>
      </c>
      <c r="M28" s="30">
        <v>770</v>
      </c>
      <c r="N28" s="30">
        <v>16</v>
      </c>
      <c r="O28" s="31">
        <f t="shared" si="2"/>
        <v>3048</v>
      </c>
    </row>
    <row r="29" spans="1:15" s="1" customFormat="1" ht="22.5">
      <c r="A29"/>
      <c r="B29" s="21" t="s">
        <v>22</v>
      </c>
      <c r="C29" s="28">
        <f aca="true" t="shared" si="3" ref="C29:O29">SUM(C20:C28)</f>
        <v>14307</v>
      </c>
      <c r="D29" s="28">
        <f t="shared" si="3"/>
        <v>1703</v>
      </c>
      <c r="E29" s="28">
        <f t="shared" si="3"/>
        <v>4718</v>
      </c>
      <c r="F29" s="28">
        <f t="shared" si="3"/>
        <v>3308</v>
      </c>
      <c r="G29" s="28">
        <f t="shared" si="3"/>
        <v>2613</v>
      </c>
      <c r="H29" s="28">
        <f t="shared" si="3"/>
        <v>4044</v>
      </c>
      <c r="I29" s="28">
        <f t="shared" si="3"/>
        <v>5290</v>
      </c>
      <c r="J29" s="28">
        <f t="shared" si="3"/>
        <v>3092</v>
      </c>
      <c r="K29" s="28">
        <f t="shared" si="3"/>
        <v>3123</v>
      </c>
      <c r="L29" s="28">
        <f t="shared" si="3"/>
        <v>3108</v>
      </c>
      <c r="M29" s="28">
        <f t="shared" si="3"/>
        <v>3596</v>
      </c>
      <c r="N29" s="28">
        <f t="shared" si="3"/>
        <v>3755</v>
      </c>
      <c r="O29" s="28">
        <f t="shared" si="3"/>
        <v>52657</v>
      </c>
    </row>
    <row r="31" spans="2:15" ht="12.7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4.25">
      <c r="B32" s="193" t="s">
        <v>48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</row>
    <row r="33" spans="2:15" ht="14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14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25.5">
      <c r="B35" s="17" t="s">
        <v>25</v>
      </c>
      <c r="C35" s="27" t="s">
        <v>16</v>
      </c>
      <c r="D35" s="27" t="s">
        <v>17</v>
      </c>
      <c r="E35" s="27" t="s">
        <v>18</v>
      </c>
      <c r="F35" s="27" t="s">
        <v>21</v>
      </c>
      <c r="G35" s="27" t="s">
        <v>26</v>
      </c>
      <c r="H35" s="27" t="s">
        <v>27</v>
      </c>
      <c r="I35" s="27" t="s">
        <v>28</v>
      </c>
      <c r="J35" s="27" t="s">
        <v>29</v>
      </c>
      <c r="K35" s="27" t="s">
        <v>30</v>
      </c>
      <c r="L35" s="27" t="s">
        <v>31</v>
      </c>
      <c r="M35" s="27" t="s">
        <v>32</v>
      </c>
      <c r="N35" s="27" t="s">
        <v>33</v>
      </c>
      <c r="O35" s="27" t="s">
        <v>34</v>
      </c>
    </row>
    <row r="36" spans="2:15" ht="22.5">
      <c r="B36" s="21" t="s">
        <v>1</v>
      </c>
      <c r="C36" s="29">
        <v>21424</v>
      </c>
      <c r="D36" s="29">
        <v>7267</v>
      </c>
      <c r="E36" s="29">
        <v>11086</v>
      </c>
      <c r="F36" s="29">
        <v>12691</v>
      </c>
      <c r="G36" s="29">
        <v>14053</v>
      </c>
      <c r="H36" s="29">
        <v>12402</v>
      </c>
      <c r="I36" s="29">
        <v>20800</v>
      </c>
      <c r="J36" s="29">
        <v>11456</v>
      </c>
      <c r="K36" s="29">
        <v>11532</v>
      </c>
      <c r="L36" s="29">
        <v>11815</v>
      </c>
      <c r="M36" s="29">
        <v>12599</v>
      </c>
      <c r="N36" s="29">
        <v>20732</v>
      </c>
      <c r="O36" s="33">
        <f aca="true" t="shared" si="4" ref="O36:O44">SUM(C36:N36)</f>
        <v>167857</v>
      </c>
    </row>
    <row r="37" spans="2:15" ht="22.5">
      <c r="B37" s="21" t="s">
        <v>2</v>
      </c>
      <c r="C37" s="29">
        <v>9006</v>
      </c>
      <c r="D37" s="29">
        <v>9442</v>
      </c>
      <c r="E37" s="29">
        <v>11133</v>
      </c>
      <c r="F37" s="29">
        <v>11067</v>
      </c>
      <c r="G37" s="29">
        <v>11868</v>
      </c>
      <c r="H37" s="29">
        <v>12466</v>
      </c>
      <c r="I37" s="29">
        <v>12382</v>
      </c>
      <c r="J37" s="29">
        <v>247245</v>
      </c>
      <c r="K37" s="41">
        <v>11127</v>
      </c>
      <c r="L37" s="29">
        <v>12344</v>
      </c>
      <c r="M37" s="29">
        <v>10302</v>
      </c>
      <c r="N37" s="29">
        <v>18290</v>
      </c>
      <c r="O37" s="33">
        <f t="shared" si="4"/>
        <v>376672</v>
      </c>
    </row>
    <row r="38" spans="2:15" ht="22.5">
      <c r="B38" s="21" t="s">
        <v>3</v>
      </c>
      <c r="C38" s="29">
        <v>4658</v>
      </c>
      <c r="D38" s="29">
        <v>3928</v>
      </c>
      <c r="E38" s="29">
        <v>4724</v>
      </c>
      <c r="F38" s="29">
        <v>6159</v>
      </c>
      <c r="G38" s="29">
        <v>6474</v>
      </c>
      <c r="H38" s="29">
        <v>8412</v>
      </c>
      <c r="I38" s="29">
        <v>6424</v>
      </c>
      <c r="J38" s="29">
        <v>6315</v>
      </c>
      <c r="K38" s="29">
        <v>7024</v>
      </c>
      <c r="L38" s="29">
        <v>6749</v>
      </c>
      <c r="M38" s="29">
        <v>6911</v>
      </c>
      <c r="N38" s="29">
        <v>7691</v>
      </c>
      <c r="O38" s="33">
        <f t="shared" si="4"/>
        <v>75469</v>
      </c>
    </row>
    <row r="39" spans="2:15" ht="22.5">
      <c r="B39" s="21" t="s">
        <v>4</v>
      </c>
      <c r="C39" s="29">
        <v>8927</v>
      </c>
      <c r="D39" s="29">
        <v>8897</v>
      </c>
      <c r="E39" s="29">
        <v>9138</v>
      </c>
      <c r="F39" s="29">
        <v>9486</v>
      </c>
      <c r="G39" s="29">
        <v>11514</v>
      </c>
      <c r="H39" s="29">
        <v>9589</v>
      </c>
      <c r="I39" s="29">
        <v>10643</v>
      </c>
      <c r="J39" s="29">
        <v>10066</v>
      </c>
      <c r="K39" s="29">
        <v>10647</v>
      </c>
      <c r="L39" s="29">
        <v>8065</v>
      </c>
      <c r="M39" s="29">
        <v>9153</v>
      </c>
      <c r="N39" s="42">
        <v>13854</v>
      </c>
      <c r="O39" s="33">
        <f t="shared" si="4"/>
        <v>119979</v>
      </c>
    </row>
    <row r="40" spans="2:15" ht="22.5">
      <c r="B40" s="21" t="s">
        <v>5</v>
      </c>
      <c r="C40" s="29">
        <v>1870</v>
      </c>
      <c r="D40" s="29">
        <v>1211</v>
      </c>
      <c r="E40" s="29">
        <v>1677</v>
      </c>
      <c r="F40" s="29">
        <v>1301</v>
      </c>
      <c r="G40" s="29">
        <v>1463</v>
      </c>
      <c r="H40" s="29">
        <v>1715</v>
      </c>
      <c r="I40" s="29">
        <v>1365</v>
      </c>
      <c r="J40" s="29">
        <v>1933</v>
      </c>
      <c r="K40" s="29">
        <v>2016</v>
      </c>
      <c r="L40" s="29">
        <v>3021</v>
      </c>
      <c r="M40" s="29">
        <v>1817</v>
      </c>
      <c r="N40" s="29">
        <v>2416</v>
      </c>
      <c r="O40" s="33">
        <f t="shared" si="4"/>
        <v>21805</v>
      </c>
    </row>
    <row r="41" spans="2:15" ht="22.5">
      <c r="B41" s="21" t="s">
        <v>6</v>
      </c>
      <c r="C41" s="29">
        <v>1870</v>
      </c>
      <c r="D41" s="29">
        <v>1708</v>
      </c>
      <c r="E41" s="29">
        <v>3248</v>
      </c>
      <c r="F41" s="29">
        <v>2415</v>
      </c>
      <c r="G41" s="29">
        <v>2696</v>
      </c>
      <c r="H41" s="29">
        <v>2820</v>
      </c>
      <c r="I41" s="29">
        <v>2589</v>
      </c>
      <c r="J41" s="29">
        <v>2592</v>
      </c>
      <c r="K41" s="29">
        <v>2821</v>
      </c>
      <c r="L41" s="29">
        <v>2718</v>
      </c>
      <c r="M41" s="29">
        <v>2625</v>
      </c>
      <c r="N41" s="29">
        <v>2933</v>
      </c>
      <c r="O41" s="33">
        <f>SUM(C41:N41)</f>
        <v>31035</v>
      </c>
    </row>
    <row r="42" spans="2:15" ht="22.5">
      <c r="B42" s="21" t="s">
        <v>7</v>
      </c>
      <c r="C42" s="29">
        <v>1279</v>
      </c>
      <c r="D42" s="29">
        <v>1236</v>
      </c>
      <c r="E42" s="29">
        <v>2407</v>
      </c>
      <c r="F42" s="29">
        <v>1637</v>
      </c>
      <c r="G42" s="29">
        <v>2050</v>
      </c>
      <c r="H42" s="29">
        <v>2044</v>
      </c>
      <c r="I42" s="29">
        <v>3155</v>
      </c>
      <c r="J42" s="29">
        <v>2346</v>
      </c>
      <c r="K42" s="29">
        <v>2318</v>
      </c>
      <c r="L42" s="29">
        <v>1969</v>
      </c>
      <c r="M42" s="29">
        <v>2106</v>
      </c>
      <c r="N42" s="29">
        <v>2451</v>
      </c>
      <c r="O42" s="33">
        <f t="shared" si="4"/>
        <v>24998</v>
      </c>
    </row>
    <row r="43" spans="2:15" ht="22.5">
      <c r="B43" s="21" t="s">
        <v>8</v>
      </c>
      <c r="C43" s="29">
        <v>2854</v>
      </c>
      <c r="D43" s="29">
        <v>2486</v>
      </c>
      <c r="E43" s="29">
        <v>3616</v>
      </c>
      <c r="F43" s="29">
        <v>3501</v>
      </c>
      <c r="G43" s="29">
        <v>3873</v>
      </c>
      <c r="H43" s="29">
        <v>2719</v>
      </c>
      <c r="I43" s="29">
        <v>2490</v>
      </c>
      <c r="J43" s="29">
        <v>3217</v>
      </c>
      <c r="K43" s="29">
        <v>4447</v>
      </c>
      <c r="L43" s="29">
        <v>4085</v>
      </c>
      <c r="M43" s="29">
        <v>5624</v>
      </c>
      <c r="N43" s="29">
        <v>4322</v>
      </c>
      <c r="O43" s="33">
        <f t="shared" si="4"/>
        <v>43234</v>
      </c>
    </row>
    <row r="44" spans="2:15" ht="22.5">
      <c r="B44" s="21" t="s">
        <v>9</v>
      </c>
      <c r="C44" s="29">
        <v>1465</v>
      </c>
      <c r="D44" s="29">
        <v>1431</v>
      </c>
      <c r="E44" s="29">
        <v>1378</v>
      </c>
      <c r="F44" s="29">
        <v>1976</v>
      </c>
      <c r="G44" s="29">
        <v>1738</v>
      </c>
      <c r="H44" s="29">
        <v>1593</v>
      </c>
      <c r="I44" s="29">
        <v>1398</v>
      </c>
      <c r="J44" s="29">
        <v>2014</v>
      </c>
      <c r="K44" s="29">
        <v>1945</v>
      </c>
      <c r="L44" s="29">
        <v>1638</v>
      </c>
      <c r="M44" s="29">
        <v>2097</v>
      </c>
      <c r="N44" s="29">
        <v>2718</v>
      </c>
      <c r="O44" s="33">
        <f t="shared" si="4"/>
        <v>21391</v>
      </c>
    </row>
    <row r="45" spans="2:15" ht="22.5">
      <c r="B45" s="21" t="s">
        <v>22</v>
      </c>
      <c r="C45" s="28">
        <f aca="true" t="shared" si="5" ref="C45:O45">SUM(C36:C44)</f>
        <v>53353</v>
      </c>
      <c r="D45" s="28">
        <f t="shared" si="5"/>
        <v>37606</v>
      </c>
      <c r="E45" s="28">
        <f t="shared" si="5"/>
        <v>48407</v>
      </c>
      <c r="F45" s="28">
        <f t="shared" si="5"/>
        <v>50233</v>
      </c>
      <c r="G45" s="28">
        <f t="shared" si="5"/>
        <v>55729</v>
      </c>
      <c r="H45" s="28">
        <f t="shared" si="5"/>
        <v>53760</v>
      </c>
      <c r="I45" s="28">
        <f t="shared" si="5"/>
        <v>61246</v>
      </c>
      <c r="J45" s="28">
        <f t="shared" si="5"/>
        <v>287184</v>
      </c>
      <c r="K45" s="28">
        <f t="shared" si="5"/>
        <v>53877</v>
      </c>
      <c r="L45" s="28">
        <f t="shared" si="5"/>
        <v>52404</v>
      </c>
      <c r="M45" s="28">
        <f t="shared" si="5"/>
        <v>53234</v>
      </c>
      <c r="N45" s="28">
        <f t="shared" si="5"/>
        <v>75407</v>
      </c>
      <c r="O45" s="28">
        <f t="shared" si="5"/>
        <v>882440</v>
      </c>
    </row>
    <row r="46" spans="2:15" ht="12.7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2:15" ht="14.25">
      <c r="B47" s="193" t="s">
        <v>49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</row>
    <row r="48" spans="2:15" ht="12.7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25.5">
      <c r="B49" s="17" t="s">
        <v>25</v>
      </c>
      <c r="C49" s="27" t="s">
        <v>16</v>
      </c>
      <c r="D49" s="27" t="s">
        <v>17</v>
      </c>
      <c r="E49" s="27" t="s">
        <v>18</v>
      </c>
      <c r="F49" s="27" t="s">
        <v>21</v>
      </c>
      <c r="G49" s="27" t="s">
        <v>26</v>
      </c>
      <c r="H49" s="27" t="s">
        <v>27</v>
      </c>
      <c r="I49" s="27" t="s">
        <v>28</v>
      </c>
      <c r="J49" s="27" t="s">
        <v>29</v>
      </c>
      <c r="K49" s="27" t="s">
        <v>30</v>
      </c>
      <c r="L49" s="27" t="s">
        <v>31</v>
      </c>
      <c r="M49" s="27" t="s">
        <v>32</v>
      </c>
      <c r="N49" s="27" t="s">
        <v>33</v>
      </c>
      <c r="O49" s="27" t="s">
        <v>34</v>
      </c>
    </row>
    <row r="50" spans="2:15" ht="22.5">
      <c r="B50" s="21" t="s">
        <v>1</v>
      </c>
      <c r="C50" s="30">
        <v>1242</v>
      </c>
      <c r="D50" s="30">
        <v>451</v>
      </c>
      <c r="E50" s="30">
        <v>646</v>
      </c>
      <c r="F50" s="30">
        <v>681</v>
      </c>
      <c r="G50" s="30">
        <v>751</v>
      </c>
      <c r="H50" s="30">
        <v>759</v>
      </c>
      <c r="I50" s="30">
        <v>1125</v>
      </c>
      <c r="J50" s="30">
        <v>642</v>
      </c>
      <c r="K50" s="30">
        <v>616</v>
      </c>
      <c r="L50" s="30">
        <v>684</v>
      </c>
      <c r="M50" s="30">
        <v>785</v>
      </c>
      <c r="N50" s="30">
        <v>1420</v>
      </c>
      <c r="O50" s="31">
        <f aca="true" t="shared" si="6" ref="O50:O58">SUM(C50:N50)</f>
        <v>9802</v>
      </c>
    </row>
    <row r="51" spans="2:15" ht="22.5">
      <c r="B51" s="21" t="s">
        <v>10</v>
      </c>
      <c r="C51" s="30">
        <v>563</v>
      </c>
      <c r="D51" s="30">
        <v>572</v>
      </c>
      <c r="E51" s="30">
        <v>677</v>
      </c>
      <c r="F51" s="30">
        <v>628</v>
      </c>
      <c r="G51" s="30">
        <v>671</v>
      </c>
      <c r="H51" s="30">
        <v>715</v>
      </c>
      <c r="I51" s="30">
        <v>741</v>
      </c>
      <c r="J51" s="30">
        <v>759</v>
      </c>
      <c r="K51" s="30">
        <v>630</v>
      </c>
      <c r="L51" s="30">
        <v>867</v>
      </c>
      <c r="M51" s="30">
        <v>637</v>
      </c>
      <c r="N51" s="30">
        <v>1000</v>
      </c>
      <c r="O51" s="31">
        <f t="shared" si="6"/>
        <v>8460</v>
      </c>
    </row>
    <row r="52" spans="2:15" ht="22.5">
      <c r="B52" s="21" t="s">
        <v>11</v>
      </c>
      <c r="C52" s="30">
        <v>271</v>
      </c>
      <c r="D52" s="30">
        <v>222</v>
      </c>
      <c r="E52" s="30">
        <v>303</v>
      </c>
      <c r="F52" s="30">
        <v>353</v>
      </c>
      <c r="G52" s="30">
        <v>413</v>
      </c>
      <c r="H52" s="30">
        <v>482</v>
      </c>
      <c r="I52" s="30">
        <v>362</v>
      </c>
      <c r="J52" s="30">
        <v>381</v>
      </c>
      <c r="K52" s="30">
        <v>397</v>
      </c>
      <c r="L52" s="30">
        <v>414</v>
      </c>
      <c r="M52" s="30">
        <v>441</v>
      </c>
      <c r="N52" s="30">
        <v>463</v>
      </c>
      <c r="O52" s="31">
        <f t="shared" si="6"/>
        <v>4502</v>
      </c>
    </row>
    <row r="53" spans="2:15" ht="22.5">
      <c r="B53" s="21" t="s">
        <v>12</v>
      </c>
      <c r="C53" s="30">
        <v>551</v>
      </c>
      <c r="D53" s="30">
        <v>530</v>
      </c>
      <c r="E53" s="30">
        <v>598</v>
      </c>
      <c r="F53" s="30">
        <v>616</v>
      </c>
      <c r="G53" s="30">
        <v>644</v>
      </c>
      <c r="H53" s="30">
        <v>625</v>
      </c>
      <c r="I53" s="30">
        <v>650</v>
      </c>
      <c r="J53" s="30">
        <v>601</v>
      </c>
      <c r="K53" s="30">
        <v>626</v>
      </c>
      <c r="L53" s="30">
        <v>624</v>
      </c>
      <c r="M53" s="30">
        <v>562</v>
      </c>
      <c r="N53" s="43">
        <v>815</v>
      </c>
      <c r="O53" s="31">
        <f t="shared" si="6"/>
        <v>7442</v>
      </c>
    </row>
    <row r="54" spans="2:15" ht="22.5">
      <c r="B54" s="21" t="s">
        <v>5</v>
      </c>
      <c r="C54" s="30">
        <v>102</v>
      </c>
      <c r="D54" s="30">
        <v>69</v>
      </c>
      <c r="E54" s="30">
        <v>99</v>
      </c>
      <c r="F54" s="30">
        <v>77</v>
      </c>
      <c r="G54" s="30">
        <v>86</v>
      </c>
      <c r="H54" s="30">
        <v>109</v>
      </c>
      <c r="I54" s="30">
        <v>89</v>
      </c>
      <c r="J54" s="30">
        <v>113</v>
      </c>
      <c r="K54" s="30">
        <v>112</v>
      </c>
      <c r="L54" s="30">
        <v>164</v>
      </c>
      <c r="M54" s="30">
        <v>99</v>
      </c>
      <c r="N54" s="30">
        <v>129</v>
      </c>
      <c r="O54" s="31">
        <f t="shared" si="6"/>
        <v>1248</v>
      </c>
    </row>
    <row r="55" spans="2:15" ht="22.5">
      <c r="B55" s="21" t="s">
        <v>6</v>
      </c>
      <c r="C55" s="30">
        <v>108</v>
      </c>
      <c r="D55" s="30">
        <v>94</v>
      </c>
      <c r="E55" s="30">
        <v>177</v>
      </c>
      <c r="F55" s="30">
        <v>136</v>
      </c>
      <c r="G55" s="30">
        <v>153</v>
      </c>
      <c r="H55" s="30">
        <v>155</v>
      </c>
      <c r="I55" s="30">
        <v>149</v>
      </c>
      <c r="J55" s="30">
        <v>168</v>
      </c>
      <c r="K55" s="30">
        <v>164</v>
      </c>
      <c r="L55" s="30">
        <v>151</v>
      </c>
      <c r="M55" s="30">
        <v>150</v>
      </c>
      <c r="N55" s="30">
        <v>167</v>
      </c>
      <c r="O55" s="31">
        <f>SUM(C55:N55)</f>
        <v>1772</v>
      </c>
    </row>
    <row r="56" spans="2:15" ht="22.5">
      <c r="B56" s="21" t="s">
        <v>13</v>
      </c>
      <c r="C56" s="30">
        <v>226</v>
      </c>
      <c r="D56" s="30">
        <v>61</v>
      </c>
      <c r="E56" s="30">
        <v>115</v>
      </c>
      <c r="F56" s="30">
        <v>89</v>
      </c>
      <c r="G56" s="30">
        <v>121</v>
      </c>
      <c r="H56" s="30">
        <v>101</v>
      </c>
      <c r="I56" s="30">
        <v>157</v>
      </c>
      <c r="J56" s="30">
        <v>121</v>
      </c>
      <c r="K56" s="30">
        <v>110</v>
      </c>
      <c r="L56" s="30">
        <v>100</v>
      </c>
      <c r="M56" s="30">
        <v>122</v>
      </c>
      <c r="N56" s="30">
        <v>148</v>
      </c>
      <c r="O56" s="31">
        <f t="shared" si="6"/>
        <v>1471</v>
      </c>
    </row>
    <row r="57" spans="2:15" ht="22.5">
      <c r="B57" s="21" t="s">
        <v>15</v>
      </c>
      <c r="C57" s="30">
        <v>152</v>
      </c>
      <c r="D57" s="30">
        <v>130</v>
      </c>
      <c r="E57" s="30">
        <v>225</v>
      </c>
      <c r="F57" s="30">
        <v>192</v>
      </c>
      <c r="G57" s="30">
        <v>208</v>
      </c>
      <c r="H57" s="30">
        <v>171</v>
      </c>
      <c r="I57" s="30">
        <v>150</v>
      </c>
      <c r="J57" s="30">
        <v>219</v>
      </c>
      <c r="K57" s="30">
        <v>228</v>
      </c>
      <c r="L57" s="30">
        <v>216</v>
      </c>
      <c r="M57" s="30">
        <v>303</v>
      </c>
      <c r="N57" s="30">
        <v>242</v>
      </c>
      <c r="O57" s="31">
        <f t="shared" si="6"/>
        <v>2436</v>
      </c>
    </row>
    <row r="58" spans="2:15" ht="22.5">
      <c r="B58" s="21" t="s">
        <v>14</v>
      </c>
      <c r="C58" s="30">
        <v>80</v>
      </c>
      <c r="D58" s="30">
        <v>80</v>
      </c>
      <c r="E58" s="30">
        <v>79</v>
      </c>
      <c r="F58" s="30">
        <v>105</v>
      </c>
      <c r="G58" s="30">
        <v>99</v>
      </c>
      <c r="H58" s="30">
        <v>96</v>
      </c>
      <c r="I58" s="30">
        <v>88</v>
      </c>
      <c r="J58" s="30">
        <v>112</v>
      </c>
      <c r="K58" s="30">
        <v>103</v>
      </c>
      <c r="L58" s="30">
        <v>95</v>
      </c>
      <c r="M58" s="30">
        <v>117</v>
      </c>
      <c r="N58" s="30">
        <v>149</v>
      </c>
      <c r="O58" s="31">
        <f t="shared" si="6"/>
        <v>1203</v>
      </c>
    </row>
    <row r="59" spans="2:15" ht="22.5">
      <c r="B59" s="21" t="s">
        <v>22</v>
      </c>
      <c r="C59" s="28">
        <f>SUM(C50:C58)</f>
        <v>3295</v>
      </c>
      <c r="D59" s="28">
        <f aca="true" t="shared" si="7" ref="D59:O59">SUM(D50:D58)</f>
        <v>2209</v>
      </c>
      <c r="E59" s="28">
        <f t="shared" si="7"/>
        <v>2919</v>
      </c>
      <c r="F59" s="28">
        <f t="shared" si="7"/>
        <v>2877</v>
      </c>
      <c r="G59" s="28">
        <f t="shared" si="7"/>
        <v>3146</v>
      </c>
      <c r="H59" s="28">
        <f t="shared" si="7"/>
        <v>3213</v>
      </c>
      <c r="I59" s="28">
        <f t="shared" si="7"/>
        <v>3511</v>
      </c>
      <c r="J59" s="28">
        <f t="shared" si="7"/>
        <v>3116</v>
      </c>
      <c r="K59" s="28">
        <f t="shared" si="7"/>
        <v>2986</v>
      </c>
      <c r="L59" s="28">
        <f t="shared" si="7"/>
        <v>3315</v>
      </c>
      <c r="M59" s="28">
        <f t="shared" si="7"/>
        <v>3216</v>
      </c>
      <c r="N59" s="28">
        <f t="shared" si="7"/>
        <v>4533</v>
      </c>
      <c r="O59" s="28">
        <f t="shared" si="7"/>
        <v>38336</v>
      </c>
    </row>
    <row r="61" spans="1:3" ht="12.75">
      <c r="A61" s="194" t="s">
        <v>64</v>
      </c>
      <c r="B61" s="194"/>
      <c r="C61" s="194"/>
    </row>
  </sheetData>
  <sheetProtection/>
  <mergeCells count="5">
    <mergeCell ref="B2:O2"/>
    <mergeCell ref="B17:O17"/>
    <mergeCell ref="B32:O32"/>
    <mergeCell ref="B47:O47"/>
    <mergeCell ref="A61:C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rightToLeft="1" workbookViewId="0" topLeftCell="A1">
      <selection activeCell="E12" sqref="E12"/>
    </sheetView>
  </sheetViews>
  <sheetFormatPr defaultColWidth="9.140625" defaultRowHeight="12.75"/>
  <cols>
    <col min="1" max="1" width="3.421875" style="0" customWidth="1"/>
    <col min="2" max="2" width="22.140625" style="0" customWidth="1"/>
    <col min="11" max="11" width="12.421875" style="0" customWidth="1"/>
  </cols>
  <sheetData>
    <row r="1" spans="1:2" s="4" customFormat="1" ht="9.75" customHeight="1">
      <c r="A1" s="6"/>
      <c r="B1" s="8"/>
    </row>
    <row r="2" spans="1:15" s="1" customFormat="1" ht="15" customHeight="1">
      <c r="A2" s="3"/>
      <c r="B2" s="193" t="s">
        <v>61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s="1" customFormat="1" ht="15" customHeight="1">
      <c r="A3" s="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" customFormat="1" ht="15" customHeight="1">
      <c r="A4" s="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" customFormat="1" ht="74.25" customHeight="1">
      <c r="A5" s="3"/>
      <c r="B5" s="35" t="s">
        <v>50</v>
      </c>
      <c r="C5" s="27" t="s">
        <v>16</v>
      </c>
      <c r="D5" s="27" t="s">
        <v>17</v>
      </c>
      <c r="E5" s="27" t="s">
        <v>18</v>
      </c>
      <c r="F5" s="27" t="s">
        <v>21</v>
      </c>
      <c r="G5" s="27" t="s">
        <v>26</v>
      </c>
      <c r="H5" s="27" t="s">
        <v>27</v>
      </c>
      <c r="I5" s="27" t="s">
        <v>28</v>
      </c>
      <c r="J5" s="27" t="s">
        <v>29</v>
      </c>
      <c r="K5" s="27" t="s">
        <v>30</v>
      </c>
      <c r="L5" s="27" t="s">
        <v>31</v>
      </c>
      <c r="M5" s="27" t="s">
        <v>32</v>
      </c>
      <c r="N5" s="27" t="s">
        <v>33</v>
      </c>
      <c r="O5" s="27" t="s">
        <v>34</v>
      </c>
    </row>
    <row r="6" spans="1:15" s="7" customFormat="1" ht="33.75">
      <c r="A6"/>
      <c r="B6" s="38" t="s">
        <v>51</v>
      </c>
      <c r="C6" s="23">
        <f>17+2+108</f>
        <v>127</v>
      </c>
      <c r="D6" s="23">
        <f>14+109</f>
        <v>123</v>
      </c>
      <c r="E6" s="23">
        <f>14+10+203+1</f>
        <v>228</v>
      </c>
      <c r="F6" s="23">
        <f>46+153</f>
        <v>199</v>
      </c>
      <c r="G6" s="23">
        <f>29+1+170</f>
        <v>200</v>
      </c>
      <c r="H6" s="23">
        <f>847+31+5592+3+4+22+124+4</f>
        <v>6627</v>
      </c>
      <c r="I6" s="23">
        <f>31+1+137+1</f>
        <v>170</v>
      </c>
      <c r="J6" s="23">
        <f>48+176</f>
        <v>224</v>
      </c>
      <c r="K6" s="23">
        <f>32+0+205+0+0+0+0</f>
        <v>237</v>
      </c>
      <c r="L6" s="23">
        <f>47+0+173+0+0+0+0</f>
        <v>220</v>
      </c>
      <c r="M6" s="45">
        <f>28+3+178+0+0+0+0</f>
        <v>209</v>
      </c>
      <c r="N6" s="23">
        <f>35+0+175+0+0+0+0</f>
        <v>210</v>
      </c>
      <c r="O6" s="24">
        <f>SUM(C6:N6)</f>
        <v>8774</v>
      </c>
    </row>
    <row r="7" spans="1:15" s="5" customFormat="1" ht="22.5">
      <c r="A7"/>
      <c r="B7" s="39" t="s">
        <v>52</v>
      </c>
      <c r="C7" s="23">
        <v>7</v>
      </c>
      <c r="D7" s="23">
        <v>9</v>
      </c>
      <c r="E7" s="23">
        <v>2</v>
      </c>
      <c r="F7" s="23">
        <f>7</f>
        <v>7</v>
      </c>
      <c r="G7" s="23">
        <f>14</f>
        <v>14</v>
      </c>
      <c r="H7" s="23">
        <f>13</f>
        <v>13</v>
      </c>
      <c r="I7" s="23">
        <f>11</f>
        <v>11</v>
      </c>
      <c r="J7" s="23">
        <f>12</f>
        <v>12</v>
      </c>
      <c r="K7" s="23">
        <v>4</v>
      </c>
      <c r="L7" s="23">
        <v>6</v>
      </c>
      <c r="M7" s="23">
        <v>13</v>
      </c>
      <c r="N7" s="23">
        <v>10</v>
      </c>
      <c r="O7" s="24">
        <f aca="true" t="shared" si="0" ref="O7:O12">SUM(C7:N7)</f>
        <v>108</v>
      </c>
    </row>
    <row r="8" spans="1:15" s="5" customFormat="1" ht="22.5">
      <c r="A8"/>
      <c r="B8" s="39" t="s">
        <v>53</v>
      </c>
      <c r="C8" s="23">
        <v>1</v>
      </c>
      <c r="D8" s="23">
        <v>2</v>
      </c>
      <c r="E8" s="23">
        <v>5</v>
      </c>
      <c r="F8" s="23">
        <f>3</f>
        <v>3</v>
      </c>
      <c r="G8" s="23">
        <v>3</v>
      </c>
      <c r="H8" s="23">
        <v>2</v>
      </c>
      <c r="I8" s="23">
        <v>1</v>
      </c>
      <c r="J8" s="23">
        <v>2</v>
      </c>
      <c r="K8" s="23">
        <v>3</v>
      </c>
      <c r="L8" s="23">
        <v>1</v>
      </c>
      <c r="M8" s="23">
        <v>2</v>
      </c>
      <c r="N8" s="23">
        <v>5</v>
      </c>
      <c r="O8" s="24">
        <f t="shared" si="0"/>
        <v>30</v>
      </c>
    </row>
    <row r="9" spans="1:15" s="5" customFormat="1" ht="22.5">
      <c r="A9"/>
      <c r="B9" s="39" t="s">
        <v>54</v>
      </c>
      <c r="C9" s="23">
        <v>0</v>
      </c>
      <c r="D9" s="23">
        <v>1</v>
      </c>
      <c r="E9" s="23">
        <f>2+1</f>
        <v>3</v>
      </c>
      <c r="F9" s="23">
        <f>1</f>
        <v>1</v>
      </c>
      <c r="G9" s="23">
        <v>2</v>
      </c>
      <c r="H9" s="23">
        <f>2+4</f>
        <v>6</v>
      </c>
      <c r="I9" s="23">
        <v>2</v>
      </c>
      <c r="J9" s="23">
        <v>2</v>
      </c>
      <c r="K9" s="23">
        <f>0+2+0</f>
        <v>2</v>
      </c>
      <c r="L9" s="23">
        <f>0+2+1</f>
        <v>3</v>
      </c>
      <c r="M9" s="23">
        <f>0+0+2</f>
        <v>2</v>
      </c>
      <c r="N9" s="23">
        <f>0+3+2</f>
        <v>5</v>
      </c>
      <c r="O9" s="24">
        <f t="shared" si="0"/>
        <v>29</v>
      </c>
    </row>
    <row r="10" spans="1:15" s="5" customFormat="1" ht="22.5">
      <c r="A10"/>
      <c r="B10" s="39" t="s">
        <v>55</v>
      </c>
      <c r="C10" s="23">
        <v>0</v>
      </c>
      <c r="D10" s="23">
        <v>1</v>
      </c>
      <c r="E10" s="23">
        <v>3</v>
      </c>
      <c r="F10" s="23">
        <v>0</v>
      </c>
      <c r="G10" s="23">
        <v>2</v>
      </c>
      <c r="H10" s="23">
        <v>3</v>
      </c>
      <c r="I10" s="23">
        <v>0</v>
      </c>
      <c r="J10" s="23">
        <v>1</v>
      </c>
      <c r="K10" s="23">
        <v>1</v>
      </c>
      <c r="L10" s="23">
        <v>0</v>
      </c>
      <c r="M10" s="23">
        <v>3</v>
      </c>
      <c r="N10" s="23">
        <v>1</v>
      </c>
      <c r="O10" s="24">
        <f t="shared" si="0"/>
        <v>15</v>
      </c>
    </row>
    <row r="11" spans="1:15" s="5" customFormat="1" ht="22.5">
      <c r="A11"/>
      <c r="B11" s="39" t="s">
        <v>56</v>
      </c>
      <c r="C11" s="23">
        <v>1214</v>
      </c>
      <c r="D11" s="23">
        <v>875</v>
      </c>
      <c r="E11" s="23">
        <v>718</v>
      </c>
      <c r="F11" s="23">
        <v>1334</v>
      </c>
      <c r="G11" s="23">
        <v>1092</v>
      </c>
      <c r="H11" s="23">
        <v>810</v>
      </c>
      <c r="I11" s="23">
        <v>485</v>
      </c>
      <c r="J11" s="23">
        <v>576</v>
      </c>
      <c r="K11" s="23">
        <v>641</v>
      </c>
      <c r="L11" s="23">
        <v>641</v>
      </c>
      <c r="M11" s="23">
        <v>736</v>
      </c>
      <c r="N11" s="23">
        <v>771</v>
      </c>
      <c r="O11" s="24">
        <f t="shared" si="0"/>
        <v>9893</v>
      </c>
    </row>
    <row r="12" spans="1:15" s="5" customFormat="1" ht="22.5">
      <c r="A12"/>
      <c r="B12" s="39" t="s">
        <v>57</v>
      </c>
      <c r="C12" s="23">
        <v>361</v>
      </c>
      <c r="D12" s="23">
        <v>303</v>
      </c>
      <c r="E12" s="23">
        <v>568</v>
      </c>
      <c r="F12" s="23">
        <v>715</v>
      </c>
      <c r="G12" s="23">
        <v>658</v>
      </c>
      <c r="H12" s="23">
        <v>452</v>
      </c>
      <c r="I12" s="23">
        <v>284</v>
      </c>
      <c r="J12" s="23">
        <v>304</v>
      </c>
      <c r="K12" s="23">
        <v>346</v>
      </c>
      <c r="L12" s="23">
        <v>325</v>
      </c>
      <c r="M12" s="23">
        <v>380</v>
      </c>
      <c r="N12" s="23">
        <v>367</v>
      </c>
      <c r="O12" s="24">
        <f t="shared" si="0"/>
        <v>5063</v>
      </c>
    </row>
    <row r="13" spans="1:15" s="5" customFormat="1" ht="22.5">
      <c r="A13"/>
      <c r="B13" s="39" t="s">
        <v>22</v>
      </c>
      <c r="C13" s="22">
        <f aca="true" t="shared" si="1" ref="C13:O13">SUM(C6:C12)</f>
        <v>1710</v>
      </c>
      <c r="D13" s="22">
        <f t="shared" si="1"/>
        <v>1314</v>
      </c>
      <c r="E13" s="22">
        <f t="shared" si="1"/>
        <v>1527</v>
      </c>
      <c r="F13" s="22">
        <f t="shared" si="1"/>
        <v>2259</v>
      </c>
      <c r="G13" s="22">
        <f t="shared" si="1"/>
        <v>1971</v>
      </c>
      <c r="H13" s="22">
        <f t="shared" si="1"/>
        <v>7913</v>
      </c>
      <c r="I13" s="22">
        <f t="shared" si="1"/>
        <v>953</v>
      </c>
      <c r="J13" s="22">
        <f t="shared" si="1"/>
        <v>1121</v>
      </c>
      <c r="K13" s="22">
        <f t="shared" si="1"/>
        <v>1234</v>
      </c>
      <c r="L13" s="22">
        <f t="shared" si="1"/>
        <v>1196</v>
      </c>
      <c r="M13" s="22">
        <f t="shared" si="1"/>
        <v>1345</v>
      </c>
      <c r="N13" s="22">
        <f>SUM(N6:N12)</f>
        <v>1369</v>
      </c>
      <c r="O13" s="22">
        <f t="shared" si="1"/>
        <v>23912</v>
      </c>
    </row>
    <row r="14" spans="1:15" s="2" customFormat="1" ht="12.75">
      <c r="A14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" customFormat="1" ht="15" customHeight="1">
      <c r="A15" s="3"/>
      <c r="B15" s="193" t="s">
        <v>62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5" s="1" customFormat="1" ht="15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4.25">
      <c r="B17" s="16" t="s">
        <v>23</v>
      </c>
      <c r="C17" s="16"/>
      <c r="D17" s="16"/>
      <c r="E17" s="16"/>
      <c r="F17" s="190" t="s">
        <v>24</v>
      </c>
      <c r="G17" s="190"/>
      <c r="H17" s="190"/>
      <c r="I17" s="16"/>
      <c r="J17" s="16"/>
      <c r="K17" s="16"/>
      <c r="L17" s="16"/>
      <c r="M17" s="16"/>
      <c r="N17" s="16"/>
      <c r="O17" s="16"/>
    </row>
    <row r="18" spans="1:15" s="1" customFormat="1" ht="1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1" customFormat="1" ht="74.25" customHeight="1" thickBot="1">
      <c r="A19" s="3"/>
      <c r="B19" s="17" t="s">
        <v>50</v>
      </c>
      <c r="C19" s="27" t="s">
        <v>16</v>
      </c>
      <c r="D19" s="27" t="s">
        <v>17</v>
      </c>
      <c r="E19" s="27" t="s">
        <v>18</v>
      </c>
      <c r="F19" s="27" t="s">
        <v>21</v>
      </c>
      <c r="G19" s="27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7" t="s">
        <v>34</v>
      </c>
    </row>
    <row r="20" spans="1:15" s="7" customFormat="1" ht="33.75">
      <c r="A20"/>
      <c r="B20" s="10" t="s">
        <v>51</v>
      </c>
      <c r="C20" s="23">
        <v>10078</v>
      </c>
      <c r="D20" s="23">
        <v>3888</v>
      </c>
      <c r="E20" s="23">
        <v>3744</v>
      </c>
      <c r="F20" s="23">
        <v>4311</v>
      </c>
      <c r="G20" s="23">
        <v>7257</v>
      </c>
      <c r="H20" s="23">
        <v>10761</v>
      </c>
      <c r="I20" s="23">
        <v>12016</v>
      </c>
      <c r="J20" s="23">
        <v>4959</v>
      </c>
      <c r="K20" s="23">
        <v>14065</v>
      </c>
      <c r="L20" s="23">
        <v>4275</v>
      </c>
      <c r="M20" s="23">
        <v>6309</v>
      </c>
      <c r="N20" s="23">
        <v>6551</v>
      </c>
      <c r="O20" s="24">
        <f aca="true" t="shared" si="2" ref="O20:O26">SUM(C20:N20)</f>
        <v>88214</v>
      </c>
    </row>
    <row r="21" spans="1:15" s="5" customFormat="1" ht="22.5">
      <c r="A21"/>
      <c r="B21" s="14" t="s">
        <v>52</v>
      </c>
      <c r="C21" s="23">
        <v>185</v>
      </c>
      <c r="D21" s="23">
        <v>272</v>
      </c>
      <c r="E21" s="23">
        <v>547</v>
      </c>
      <c r="F21" s="23">
        <v>4451</v>
      </c>
      <c r="G21" s="23">
        <v>47</v>
      </c>
      <c r="H21" s="23">
        <v>293</v>
      </c>
      <c r="I21" s="23">
        <v>5</v>
      </c>
      <c r="J21" s="23">
        <v>18</v>
      </c>
      <c r="K21" s="23">
        <v>774</v>
      </c>
      <c r="L21" s="23">
        <v>17</v>
      </c>
      <c r="M21" s="23">
        <v>465</v>
      </c>
      <c r="N21" s="23">
        <v>19</v>
      </c>
      <c r="O21" s="24">
        <f t="shared" si="2"/>
        <v>7093</v>
      </c>
    </row>
    <row r="22" spans="1:15" s="5" customFormat="1" ht="22.5">
      <c r="A22"/>
      <c r="B22" s="14" t="s">
        <v>53</v>
      </c>
      <c r="C22" s="23">
        <v>60</v>
      </c>
      <c r="D22" s="23">
        <v>0</v>
      </c>
      <c r="E22" s="23">
        <v>0</v>
      </c>
      <c r="F22" s="23">
        <v>1659</v>
      </c>
      <c r="G22" s="23">
        <v>0</v>
      </c>
      <c r="H22" s="23">
        <v>127</v>
      </c>
      <c r="I22" s="23">
        <v>2</v>
      </c>
      <c r="J22" s="23">
        <v>1</v>
      </c>
      <c r="K22" s="23">
        <v>734</v>
      </c>
      <c r="L22" s="23">
        <v>49</v>
      </c>
      <c r="M22" s="23">
        <v>2452</v>
      </c>
      <c r="N22" s="23">
        <v>0</v>
      </c>
      <c r="O22" s="24">
        <f t="shared" si="2"/>
        <v>5084</v>
      </c>
    </row>
    <row r="23" spans="1:15" s="5" customFormat="1" ht="22.5">
      <c r="A23"/>
      <c r="B23" s="14" t="s">
        <v>54</v>
      </c>
      <c r="C23" s="23">
        <v>538</v>
      </c>
      <c r="D23" s="23">
        <v>375</v>
      </c>
      <c r="E23" s="23">
        <v>421</v>
      </c>
      <c r="F23" s="23">
        <v>410</v>
      </c>
      <c r="G23" s="23">
        <v>699</v>
      </c>
      <c r="H23" s="23">
        <v>637</v>
      </c>
      <c r="I23" s="23">
        <v>794</v>
      </c>
      <c r="J23" s="23">
        <v>427</v>
      </c>
      <c r="K23" s="23">
        <v>1080</v>
      </c>
      <c r="L23" s="23">
        <v>711</v>
      </c>
      <c r="M23" s="23">
        <v>2132</v>
      </c>
      <c r="N23" s="23">
        <v>486</v>
      </c>
      <c r="O23" s="24">
        <f t="shared" si="2"/>
        <v>8710</v>
      </c>
    </row>
    <row r="24" spans="1:15" s="5" customFormat="1" ht="22.5">
      <c r="A24"/>
      <c r="B24" s="14" t="s">
        <v>55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1</v>
      </c>
      <c r="L24" s="37">
        <v>0</v>
      </c>
      <c r="M24" s="37">
        <v>3</v>
      </c>
      <c r="N24" s="37">
        <v>1</v>
      </c>
      <c r="O24" s="24">
        <f t="shared" si="2"/>
        <v>5</v>
      </c>
    </row>
    <row r="25" spans="1:15" s="5" customFormat="1" ht="22.5">
      <c r="A25"/>
      <c r="B25" s="14" t="s">
        <v>56</v>
      </c>
      <c r="C25" s="37">
        <v>475</v>
      </c>
      <c r="D25" s="37">
        <v>222</v>
      </c>
      <c r="E25" s="37">
        <v>309</v>
      </c>
      <c r="F25" s="37">
        <v>266</v>
      </c>
      <c r="G25" s="37">
        <v>646</v>
      </c>
      <c r="H25" s="37">
        <v>579</v>
      </c>
      <c r="I25" s="37">
        <v>679</v>
      </c>
      <c r="J25" s="37">
        <v>363</v>
      </c>
      <c r="K25" s="37">
        <v>897</v>
      </c>
      <c r="L25" s="37">
        <v>358</v>
      </c>
      <c r="M25" s="37">
        <v>398</v>
      </c>
      <c r="N25" s="37">
        <v>435</v>
      </c>
      <c r="O25" s="24">
        <f t="shared" si="2"/>
        <v>5627</v>
      </c>
    </row>
    <row r="26" spans="1:15" s="5" customFormat="1" ht="23.25" thickBot="1">
      <c r="A26"/>
      <c r="B26" s="15" t="s">
        <v>57</v>
      </c>
      <c r="C26" s="37">
        <v>25</v>
      </c>
      <c r="D26" s="37">
        <v>15</v>
      </c>
      <c r="E26" s="37">
        <v>15</v>
      </c>
      <c r="F26" s="37">
        <v>16</v>
      </c>
      <c r="G26" s="37">
        <v>25</v>
      </c>
      <c r="H26" s="37">
        <v>76</v>
      </c>
      <c r="I26" s="37">
        <v>34</v>
      </c>
      <c r="J26" s="37">
        <v>15</v>
      </c>
      <c r="K26" s="37">
        <v>44</v>
      </c>
      <c r="L26" s="37">
        <v>17486</v>
      </c>
      <c r="M26" s="37">
        <v>22376</v>
      </c>
      <c r="N26" s="37">
        <v>19</v>
      </c>
      <c r="O26" s="24">
        <f t="shared" si="2"/>
        <v>40146</v>
      </c>
    </row>
    <row r="27" spans="1:15" s="5" customFormat="1" ht="22.5">
      <c r="A27"/>
      <c r="B27" s="36" t="s">
        <v>22</v>
      </c>
      <c r="C27" s="28">
        <f aca="true" t="shared" si="3" ref="C27:O27">SUM(C20:C26)</f>
        <v>11361</v>
      </c>
      <c r="D27" s="28">
        <f t="shared" si="3"/>
        <v>4772</v>
      </c>
      <c r="E27" s="28">
        <f t="shared" si="3"/>
        <v>5036</v>
      </c>
      <c r="F27" s="28">
        <f t="shared" si="3"/>
        <v>11113</v>
      </c>
      <c r="G27" s="28">
        <f t="shared" si="3"/>
        <v>8674</v>
      </c>
      <c r="H27" s="28">
        <f t="shared" si="3"/>
        <v>12473</v>
      </c>
      <c r="I27" s="28">
        <f t="shared" si="3"/>
        <v>13530</v>
      </c>
      <c r="J27" s="28">
        <f t="shared" si="3"/>
        <v>5783</v>
      </c>
      <c r="K27" s="28">
        <f t="shared" si="3"/>
        <v>17595</v>
      </c>
      <c r="L27" s="28">
        <f t="shared" si="3"/>
        <v>22896</v>
      </c>
      <c r="M27" s="28">
        <f t="shared" si="3"/>
        <v>34135</v>
      </c>
      <c r="N27" s="28">
        <f t="shared" si="3"/>
        <v>7511</v>
      </c>
      <c r="O27" s="28">
        <f t="shared" si="3"/>
        <v>154879</v>
      </c>
    </row>
    <row r="29" spans="2:15" ht="12.7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3" ht="12.75">
      <c r="A30" s="194" t="s">
        <v>64</v>
      </c>
      <c r="B30" s="194"/>
      <c r="C30" s="194"/>
    </row>
  </sheetData>
  <sheetProtection/>
  <mergeCells count="4">
    <mergeCell ref="B2:O2"/>
    <mergeCell ref="B15:O15"/>
    <mergeCell ref="F17:H17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7"/>
  <sheetViews>
    <sheetView rightToLeft="1" zoomScalePageLayoutView="0" workbookViewId="0" topLeftCell="A130">
      <selection activeCell="A146" sqref="A146"/>
    </sheetView>
  </sheetViews>
  <sheetFormatPr defaultColWidth="9.140625" defaultRowHeight="12.75"/>
  <cols>
    <col min="1" max="1" width="11.140625" style="0" customWidth="1"/>
    <col min="2" max="2" width="23.57421875" style="0" customWidth="1"/>
    <col min="3" max="3" width="12.140625" style="0" bestFit="1" customWidth="1"/>
    <col min="4" max="4" width="14.140625" style="0" customWidth="1"/>
    <col min="5" max="5" width="12.140625" style="0" bestFit="1" customWidth="1"/>
    <col min="6" max="6" width="11.00390625" style="0" bestFit="1" customWidth="1"/>
    <col min="7" max="7" width="10.140625" style="0" bestFit="1" customWidth="1"/>
    <col min="10" max="10" width="11.140625" style="0" bestFit="1" customWidth="1"/>
    <col min="15" max="15" width="12.421875" style="0" bestFit="1" customWidth="1"/>
  </cols>
  <sheetData>
    <row r="1" spans="1:14" ht="24.75">
      <c r="A1" s="210" t="s">
        <v>164</v>
      </c>
      <c r="B1" s="210"/>
      <c r="C1" s="210"/>
      <c r="D1" s="210"/>
      <c r="E1" s="210"/>
      <c r="F1" s="210"/>
      <c r="G1" s="210"/>
      <c r="H1" s="54"/>
      <c r="I1" s="54"/>
      <c r="J1" s="54"/>
      <c r="K1" s="54"/>
      <c r="L1" s="54"/>
      <c r="M1" s="54"/>
      <c r="N1" s="54"/>
    </row>
    <row r="2" spans="1:14" ht="15.75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</row>
    <row r="3" spans="1:14" ht="15.75">
      <c r="A3" s="53" t="s">
        <v>155</v>
      </c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</row>
    <row r="4" spans="1:14" ht="14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5" ht="42">
      <c r="B5" s="215" t="s">
        <v>154</v>
      </c>
      <c r="C5" s="57" t="s">
        <v>73</v>
      </c>
      <c r="D5" s="57" t="s">
        <v>74</v>
      </c>
      <c r="E5" s="57" t="s">
        <v>75</v>
      </c>
      <c r="F5" s="57" t="s">
        <v>76</v>
      </c>
      <c r="G5" s="57" t="s">
        <v>77</v>
      </c>
      <c r="H5" s="57" t="s">
        <v>78</v>
      </c>
      <c r="I5" s="57" t="s">
        <v>79</v>
      </c>
      <c r="J5" s="58" t="s">
        <v>80</v>
      </c>
      <c r="K5" s="58" t="s">
        <v>81</v>
      </c>
      <c r="L5" s="58" t="s">
        <v>82</v>
      </c>
      <c r="M5" s="58" t="s">
        <v>83</v>
      </c>
      <c r="N5" s="58" t="s">
        <v>84</v>
      </c>
      <c r="O5" s="59" t="s">
        <v>72</v>
      </c>
    </row>
    <row r="6" spans="2:15" ht="12.75">
      <c r="B6" s="60">
        <v>2013</v>
      </c>
      <c r="C6" s="61">
        <v>541003</v>
      </c>
      <c r="D6" s="61">
        <v>874473</v>
      </c>
      <c r="E6" s="61">
        <v>848562</v>
      </c>
      <c r="F6" s="61">
        <v>1130853</v>
      </c>
      <c r="G6" s="61">
        <v>900959</v>
      </c>
      <c r="H6" s="61">
        <v>876540</v>
      </c>
      <c r="I6" s="61">
        <v>860601</v>
      </c>
      <c r="J6" s="61">
        <v>826571</v>
      </c>
      <c r="K6" s="61">
        <v>947487</v>
      </c>
      <c r="L6" s="61">
        <v>968657</v>
      </c>
      <c r="M6" s="61">
        <v>734323</v>
      </c>
      <c r="N6" s="61">
        <v>1029104</v>
      </c>
      <c r="O6" s="62">
        <f>N6+M6+L6+K6+J6+I6+H6+G6+F6+E6+D6+C6</f>
        <v>10539133</v>
      </c>
    </row>
    <row r="7" spans="2:15" ht="12.75">
      <c r="B7" s="60">
        <v>2014</v>
      </c>
      <c r="C7" s="61">
        <v>832007</v>
      </c>
      <c r="D7" s="61">
        <v>965675</v>
      </c>
      <c r="E7" s="61">
        <v>978423</v>
      </c>
      <c r="F7" s="61">
        <v>1069879</v>
      </c>
      <c r="G7" s="61">
        <v>1228530</v>
      </c>
      <c r="H7" s="61">
        <v>1047531</v>
      </c>
      <c r="I7" s="61">
        <v>912694</v>
      </c>
      <c r="J7" s="61">
        <v>836441</v>
      </c>
      <c r="K7" s="61">
        <v>888002</v>
      </c>
      <c r="L7" s="61">
        <v>951096</v>
      </c>
      <c r="M7" s="61">
        <v>762354</v>
      </c>
      <c r="N7" s="61">
        <v>686760</v>
      </c>
      <c r="O7" s="62">
        <f>N7+M7+L7+K7+J7+I7+H7+G7+F7+E7+D7+C7</f>
        <v>11159392</v>
      </c>
    </row>
    <row r="8" spans="2:15" ht="12.75">
      <c r="B8" s="60">
        <v>2015</v>
      </c>
      <c r="C8" s="61">
        <v>729323</v>
      </c>
      <c r="D8" s="61">
        <v>827933</v>
      </c>
      <c r="E8" s="61">
        <v>774382</v>
      </c>
      <c r="F8" s="61">
        <v>842310</v>
      </c>
      <c r="G8" s="61">
        <v>863786</v>
      </c>
      <c r="H8" s="61">
        <v>863724</v>
      </c>
      <c r="I8" s="61">
        <v>817141</v>
      </c>
      <c r="J8" s="61">
        <v>1142112</v>
      </c>
      <c r="K8" s="61">
        <v>933714</v>
      </c>
      <c r="L8" s="61">
        <v>779040</v>
      </c>
      <c r="M8" s="61">
        <v>812832</v>
      </c>
      <c r="N8" s="61">
        <v>908049</v>
      </c>
      <c r="O8" s="62">
        <f>N8+M8+L8+K8+J8+I8+H8+G8+F8+E8+D8+C8</f>
        <v>10294346</v>
      </c>
    </row>
    <row r="10" spans="1:15" ht="24.75">
      <c r="A10" s="211" t="s">
        <v>165</v>
      </c>
      <c r="B10" s="211"/>
      <c r="C10" s="211"/>
      <c r="D10" s="211"/>
      <c r="E10" s="211"/>
      <c r="F10" s="211"/>
      <c r="G10" s="211"/>
      <c r="H10" s="63"/>
      <c r="I10" s="64"/>
      <c r="J10" s="64"/>
      <c r="K10" s="64"/>
      <c r="L10" s="64"/>
      <c r="M10" s="64"/>
      <c r="N10" s="64"/>
      <c r="O10" s="64"/>
    </row>
    <row r="11" spans="2:15" ht="18"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42">
      <c r="A12" s="67"/>
      <c r="B12" s="216" t="s">
        <v>156</v>
      </c>
      <c r="C12" s="68" t="s">
        <v>73</v>
      </c>
      <c r="D12" s="68" t="s">
        <v>74</v>
      </c>
      <c r="E12" s="68" t="s">
        <v>75</v>
      </c>
      <c r="F12" s="68" t="s">
        <v>76</v>
      </c>
      <c r="G12" s="68" t="s">
        <v>85</v>
      </c>
      <c r="H12" s="68" t="s">
        <v>78</v>
      </c>
      <c r="I12" s="68" t="s">
        <v>86</v>
      </c>
      <c r="J12" s="68" t="s">
        <v>80</v>
      </c>
      <c r="K12" s="68" t="s">
        <v>87</v>
      </c>
      <c r="L12" s="68" t="s">
        <v>88</v>
      </c>
      <c r="M12" s="68" t="s">
        <v>89</v>
      </c>
      <c r="N12" s="68" t="s">
        <v>90</v>
      </c>
      <c r="O12" s="69" t="s">
        <v>72</v>
      </c>
    </row>
    <row r="13" spans="1:15" ht="21">
      <c r="A13" s="70"/>
      <c r="B13" s="71" t="s">
        <v>65</v>
      </c>
      <c r="C13" s="72">
        <v>73784</v>
      </c>
      <c r="D13" s="72">
        <v>21865</v>
      </c>
      <c r="E13" s="72">
        <v>19280</v>
      </c>
      <c r="F13" s="72">
        <v>31512</v>
      </c>
      <c r="G13" s="72">
        <v>70450</v>
      </c>
      <c r="H13" s="72">
        <v>90630</v>
      </c>
      <c r="I13" s="72">
        <v>101938</v>
      </c>
      <c r="J13" s="72">
        <v>53948</v>
      </c>
      <c r="K13" s="72">
        <v>42864</v>
      </c>
      <c r="L13" s="72">
        <v>47979</v>
      </c>
      <c r="M13" s="72">
        <v>56412</v>
      </c>
      <c r="N13" s="72">
        <v>57368</v>
      </c>
      <c r="O13" s="73">
        <f>N13+M13+L13+K13+J13+I13+H13+G13+E13+D13+F13+C13</f>
        <v>668030</v>
      </c>
    </row>
    <row r="14" spans="1:15" ht="21">
      <c r="A14" s="70"/>
      <c r="B14" s="71" t="s">
        <v>67</v>
      </c>
      <c r="C14" s="72">
        <v>395270</v>
      </c>
      <c r="D14" s="72">
        <v>540836</v>
      </c>
      <c r="E14" s="72">
        <v>448823</v>
      </c>
      <c r="F14" s="72">
        <v>518808</v>
      </c>
      <c r="G14" s="72">
        <v>479115</v>
      </c>
      <c r="H14" s="72">
        <v>432577</v>
      </c>
      <c r="I14" s="72">
        <v>436771</v>
      </c>
      <c r="J14" s="72">
        <v>777987</v>
      </c>
      <c r="K14" s="72">
        <v>542644</v>
      </c>
      <c r="L14" s="72">
        <v>379026</v>
      </c>
      <c r="M14" s="72">
        <v>434808</v>
      </c>
      <c r="N14" s="72">
        <v>518671</v>
      </c>
      <c r="O14" s="73">
        <f>N14+M14+L14+K14+J14+I14+H14+G14+F14+E14+D14+C14</f>
        <v>5905336</v>
      </c>
    </row>
    <row r="15" spans="1:15" ht="21">
      <c r="A15" s="70"/>
      <c r="B15" s="71" t="s">
        <v>91</v>
      </c>
      <c r="C15" s="72">
        <v>3361</v>
      </c>
      <c r="D15" s="72">
        <v>18649</v>
      </c>
      <c r="E15" s="72">
        <v>14903</v>
      </c>
      <c r="F15" s="72">
        <v>10606</v>
      </c>
      <c r="G15" s="72">
        <v>3625</v>
      </c>
      <c r="H15" s="72">
        <v>9267</v>
      </c>
      <c r="I15" s="72">
        <v>13299</v>
      </c>
      <c r="J15" s="72">
        <v>11284</v>
      </c>
      <c r="K15" s="72">
        <v>7230</v>
      </c>
      <c r="L15" s="72">
        <v>23764</v>
      </c>
      <c r="M15" s="72">
        <v>3961</v>
      </c>
      <c r="N15" s="72">
        <v>41099</v>
      </c>
      <c r="O15" s="73">
        <f>N15+M15+L15+K15+J15+I15+H15+G15+F15+E15+D15+C15</f>
        <v>161048</v>
      </c>
    </row>
    <row r="16" spans="1:15" ht="21">
      <c r="A16" s="70"/>
      <c r="B16" s="71" t="s">
        <v>68</v>
      </c>
      <c r="C16" s="72">
        <v>62730</v>
      </c>
      <c r="D16" s="72">
        <v>78357</v>
      </c>
      <c r="E16" s="72">
        <v>80417</v>
      </c>
      <c r="F16" s="72">
        <v>78912</v>
      </c>
      <c r="G16" s="72">
        <v>97094</v>
      </c>
      <c r="H16" s="72">
        <v>103714</v>
      </c>
      <c r="I16" s="72">
        <v>87879</v>
      </c>
      <c r="J16" s="72">
        <v>104045</v>
      </c>
      <c r="K16" s="72">
        <v>87841</v>
      </c>
      <c r="L16" s="72">
        <v>92126</v>
      </c>
      <c r="M16" s="72">
        <v>65117</v>
      </c>
      <c r="N16" s="72">
        <v>75238</v>
      </c>
      <c r="O16" s="73">
        <f>N16+M16+L16+K16+J16+I16+H16+G16+F16+E16+D16+C16</f>
        <v>1013470</v>
      </c>
    </row>
    <row r="17" spans="1:15" ht="21">
      <c r="A17" s="70"/>
      <c r="B17" s="71" t="s">
        <v>92</v>
      </c>
      <c r="C17" s="72">
        <v>110466</v>
      </c>
      <c r="D17" s="72">
        <v>105915</v>
      </c>
      <c r="E17" s="72">
        <v>97936</v>
      </c>
      <c r="F17" s="72">
        <v>131825</v>
      </c>
      <c r="G17" s="72">
        <v>117181</v>
      </c>
      <c r="H17" s="72">
        <v>132970</v>
      </c>
      <c r="I17" s="72">
        <v>112608</v>
      </c>
      <c r="J17" s="72">
        <v>113476</v>
      </c>
      <c r="K17" s="72">
        <v>159496</v>
      </c>
      <c r="L17" s="72">
        <v>143908</v>
      </c>
      <c r="M17" s="72">
        <v>157855</v>
      </c>
      <c r="N17" s="72">
        <v>135000</v>
      </c>
      <c r="O17" s="73">
        <f>N17+M17+L17+K17+J17+I17+H17+G17+F17+E17+D17+C17</f>
        <v>1518636</v>
      </c>
    </row>
    <row r="18" spans="1:15" ht="21">
      <c r="A18" s="70"/>
      <c r="B18" s="71" t="s">
        <v>70</v>
      </c>
      <c r="C18" s="72">
        <v>83712</v>
      </c>
      <c r="D18" s="72">
        <v>62311</v>
      </c>
      <c r="E18" s="72">
        <v>113023</v>
      </c>
      <c r="F18" s="72">
        <v>70647</v>
      </c>
      <c r="G18" s="72">
        <v>96321</v>
      </c>
      <c r="H18" s="72">
        <v>94566</v>
      </c>
      <c r="I18" s="72">
        <v>64646</v>
      </c>
      <c r="J18" s="72">
        <v>81372</v>
      </c>
      <c r="K18" s="72">
        <v>93639</v>
      </c>
      <c r="L18" s="72">
        <v>92237</v>
      </c>
      <c r="M18" s="72">
        <v>94679</v>
      </c>
      <c r="N18" s="72">
        <v>80673</v>
      </c>
      <c r="O18" s="73">
        <f>N18+M18+L18+K18+J18+I18+H18+G18+E18+F18+D18+C18</f>
        <v>1027826</v>
      </c>
    </row>
    <row r="19" spans="1:15" ht="21">
      <c r="A19" s="70"/>
      <c r="B19" s="69" t="s">
        <v>72</v>
      </c>
      <c r="C19" s="73">
        <f aca="true" t="shared" si="0" ref="C19:M19">C18+C17+C16+C15+C14+C13</f>
        <v>729323</v>
      </c>
      <c r="D19" s="73">
        <f t="shared" si="0"/>
        <v>827933</v>
      </c>
      <c r="E19" s="73">
        <f t="shared" si="0"/>
        <v>774382</v>
      </c>
      <c r="F19" s="73">
        <f t="shared" si="0"/>
        <v>842310</v>
      </c>
      <c r="G19" s="73">
        <f t="shared" si="0"/>
        <v>863786</v>
      </c>
      <c r="H19" s="73">
        <f t="shared" si="0"/>
        <v>863724</v>
      </c>
      <c r="I19" s="73">
        <f t="shared" si="0"/>
        <v>817141</v>
      </c>
      <c r="J19" s="73">
        <f t="shared" si="0"/>
        <v>1142112</v>
      </c>
      <c r="K19" s="73">
        <f t="shared" si="0"/>
        <v>933714</v>
      </c>
      <c r="L19" s="73">
        <f t="shared" si="0"/>
        <v>779040</v>
      </c>
      <c r="M19" s="73">
        <f t="shared" si="0"/>
        <v>812832</v>
      </c>
      <c r="N19" s="73">
        <f>N13+N14+N15+N16+N17+N18</f>
        <v>908049</v>
      </c>
      <c r="O19" s="73">
        <f>O18+O17+O16+O15+O14+O13</f>
        <v>10294346</v>
      </c>
    </row>
    <row r="21" spans="1:15" ht="24.75">
      <c r="A21" s="212" t="s">
        <v>166</v>
      </c>
      <c r="B21" s="212"/>
      <c r="C21" s="212"/>
      <c r="D21" s="212"/>
      <c r="E21" s="212"/>
      <c r="F21" s="212"/>
      <c r="G21" s="212"/>
      <c r="H21" s="212"/>
      <c r="I21" s="74"/>
      <c r="J21" s="75"/>
      <c r="K21" s="75"/>
      <c r="L21" s="75"/>
      <c r="M21" s="75"/>
      <c r="N21" s="75"/>
      <c r="O21" s="75"/>
    </row>
    <row r="22" spans="2:15" ht="18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42">
      <c r="A23" s="78"/>
      <c r="B23" s="216" t="s">
        <v>156</v>
      </c>
      <c r="C23" s="79" t="s">
        <v>73</v>
      </c>
      <c r="D23" s="79" t="s">
        <v>74</v>
      </c>
      <c r="E23" s="79" t="s">
        <v>75</v>
      </c>
      <c r="F23" s="79" t="s">
        <v>76</v>
      </c>
      <c r="G23" s="79" t="s">
        <v>77</v>
      </c>
      <c r="H23" s="79" t="s">
        <v>78</v>
      </c>
      <c r="I23" s="79" t="s">
        <v>86</v>
      </c>
      <c r="J23" s="79" t="s">
        <v>80</v>
      </c>
      <c r="K23" s="79" t="s">
        <v>87</v>
      </c>
      <c r="L23" s="79" t="s">
        <v>82</v>
      </c>
      <c r="M23" s="80" t="s">
        <v>93</v>
      </c>
      <c r="N23" s="79" t="s">
        <v>84</v>
      </c>
      <c r="O23" s="81" t="s">
        <v>72</v>
      </c>
    </row>
    <row r="24" spans="2:15" ht="23.25">
      <c r="B24" s="82" t="s">
        <v>65</v>
      </c>
      <c r="C24" s="83">
        <v>73</v>
      </c>
      <c r="D24" s="83">
        <v>56</v>
      </c>
      <c r="E24" s="83">
        <v>79</v>
      </c>
      <c r="F24" s="83">
        <v>96</v>
      </c>
      <c r="G24" s="84">
        <v>52</v>
      </c>
      <c r="H24" s="83">
        <v>87</v>
      </c>
      <c r="I24" s="83">
        <v>68</v>
      </c>
      <c r="J24" s="83">
        <v>48</v>
      </c>
      <c r="K24" s="83">
        <v>62</v>
      </c>
      <c r="L24" s="83">
        <v>76</v>
      </c>
      <c r="M24" s="83">
        <v>59</v>
      </c>
      <c r="N24" s="83">
        <v>49</v>
      </c>
      <c r="O24" s="85">
        <f aca="true" t="shared" si="1" ref="O24:O30">SUM(C24:N24)</f>
        <v>805</v>
      </c>
    </row>
    <row r="25" spans="2:15" ht="23.25">
      <c r="B25" s="82" t="s">
        <v>67</v>
      </c>
      <c r="C25" s="83">
        <v>417</v>
      </c>
      <c r="D25" s="83">
        <v>433</v>
      </c>
      <c r="E25" s="83">
        <v>550</v>
      </c>
      <c r="F25" s="83">
        <v>541</v>
      </c>
      <c r="G25" s="84">
        <v>513</v>
      </c>
      <c r="H25" s="83">
        <v>674</v>
      </c>
      <c r="I25" s="83">
        <v>563</v>
      </c>
      <c r="J25" s="83">
        <v>487</v>
      </c>
      <c r="K25" s="83">
        <v>564</v>
      </c>
      <c r="L25" s="83">
        <v>530</v>
      </c>
      <c r="M25" s="83">
        <v>462</v>
      </c>
      <c r="N25" s="83">
        <v>610</v>
      </c>
      <c r="O25" s="85">
        <f t="shared" si="1"/>
        <v>6344</v>
      </c>
    </row>
    <row r="26" spans="2:15" ht="23.25">
      <c r="B26" s="82" t="s">
        <v>91</v>
      </c>
      <c r="C26" s="83">
        <v>6</v>
      </c>
      <c r="D26" s="83">
        <v>10</v>
      </c>
      <c r="E26" s="83">
        <v>21</v>
      </c>
      <c r="F26" s="83">
        <v>19</v>
      </c>
      <c r="G26" s="84">
        <v>12</v>
      </c>
      <c r="H26" s="83">
        <v>14</v>
      </c>
      <c r="I26" s="83">
        <v>21</v>
      </c>
      <c r="J26" s="83">
        <v>8</v>
      </c>
      <c r="K26" s="83">
        <v>14</v>
      </c>
      <c r="L26" s="83">
        <v>21</v>
      </c>
      <c r="M26" s="83">
        <v>11</v>
      </c>
      <c r="N26" s="83">
        <v>15</v>
      </c>
      <c r="O26" s="85">
        <f t="shared" si="1"/>
        <v>172</v>
      </c>
    </row>
    <row r="27" spans="2:15" ht="23.25">
      <c r="B27" s="82" t="s">
        <v>68</v>
      </c>
      <c r="C27" s="83">
        <v>68</v>
      </c>
      <c r="D27" s="83">
        <v>103</v>
      </c>
      <c r="E27" s="83">
        <v>133</v>
      </c>
      <c r="F27" s="83">
        <v>129</v>
      </c>
      <c r="G27" s="84">
        <v>139</v>
      </c>
      <c r="H27" s="83">
        <v>157</v>
      </c>
      <c r="I27" s="83">
        <v>153</v>
      </c>
      <c r="J27" s="83">
        <v>115</v>
      </c>
      <c r="K27" s="83">
        <v>152</v>
      </c>
      <c r="L27" s="83">
        <v>158</v>
      </c>
      <c r="M27" s="83">
        <v>108</v>
      </c>
      <c r="N27" s="83">
        <v>141</v>
      </c>
      <c r="O27" s="85">
        <f t="shared" si="1"/>
        <v>1556</v>
      </c>
    </row>
    <row r="28" spans="2:15" ht="23.25">
      <c r="B28" s="82" t="s">
        <v>92</v>
      </c>
      <c r="C28" s="83">
        <v>172</v>
      </c>
      <c r="D28" s="83">
        <v>167</v>
      </c>
      <c r="E28" s="83">
        <v>229</v>
      </c>
      <c r="F28" s="83">
        <v>212</v>
      </c>
      <c r="G28" s="84">
        <v>175</v>
      </c>
      <c r="H28" s="83">
        <v>269</v>
      </c>
      <c r="I28" s="83">
        <v>191</v>
      </c>
      <c r="J28" s="83">
        <v>195</v>
      </c>
      <c r="K28" s="83">
        <v>257</v>
      </c>
      <c r="L28" s="83">
        <v>242</v>
      </c>
      <c r="M28" s="83">
        <v>224</v>
      </c>
      <c r="N28" s="83">
        <v>244</v>
      </c>
      <c r="O28" s="85">
        <f t="shared" si="1"/>
        <v>2577</v>
      </c>
    </row>
    <row r="29" spans="2:15" ht="23.25">
      <c r="B29" s="82" t="s">
        <v>70</v>
      </c>
      <c r="C29" s="83">
        <v>132</v>
      </c>
      <c r="D29" s="83">
        <v>116</v>
      </c>
      <c r="E29" s="83">
        <v>220</v>
      </c>
      <c r="F29" s="83">
        <v>147</v>
      </c>
      <c r="G29" s="84">
        <v>161</v>
      </c>
      <c r="H29" s="83">
        <v>197</v>
      </c>
      <c r="I29" s="83">
        <v>156</v>
      </c>
      <c r="J29" s="83">
        <v>148</v>
      </c>
      <c r="K29" s="83">
        <v>209</v>
      </c>
      <c r="L29" s="83">
        <v>171</v>
      </c>
      <c r="M29" s="83">
        <v>172</v>
      </c>
      <c r="N29" s="83">
        <v>183</v>
      </c>
      <c r="O29" s="85">
        <f t="shared" si="1"/>
        <v>2012</v>
      </c>
    </row>
    <row r="30" spans="2:15" ht="23.25">
      <c r="B30" s="86" t="s">
        <v>72</v>
      </c>
      <c r="C30" s="85">
        <f aca="true" t="shared" si="2" ref="C30:H30">SUM(C24:C29)</f>
        <v>868</v>
      </c>
      <c r="D30" s="85">
        <f t="shared" si="2"/>
        <v>885</v>
      </c>
      <c r="E30" s="85">
        <f t="shared" si="2"/>
        <v>1232</v>
      </c>
      <c r="F30" s="85">
        <f t="shared" si="2"/>
        <v>1144</v>
      </c>
      <c r="G30" s="85">
        <f t="shared" si="2"/>
        <v>1052</v>
      </c>
      <c r="H30" s="85">
        <f t="shared" si="2"/>
        <v>1398</v>
      </c>
      <c r="I30" s="85">
        <f aca="true" t="shared" si="3" ref="I30:N30">I29+I28+I27+I26+I25+I24</f>
        <v>1152</v>
      </c>
      <c r="J30" s="85">
        <f t="shared" si="3"/>
        <v>1001</v>
      </c>
      <c r="K30" s="85">
        <f t="shared" si="3"/>
        <v>1258</v>
      </c>
      <c r="L30" s="85">
        <f t="shared" si="3"/>
        <v>1198</v>
      </c>
      <c r="M30" s="85">
        <f t="shared" si="3"/>
        <v>1036</v>
      </c>
      <c r="N30" s="85">
        <f t="shared" si="3"/>
        <v>1242</v>
      </c>
      <c r="O30" s="85">
        <f t="shared" si="1"/>
        <v>13466</v>
      </c>
    </row>
    <row r="32" spans="1:8" ht="24" customHeight="1">
      <c r="A32" s="213" t="s">
        <v>167</v>
      </c>
      <c r="B32" s="213"/>
      <c r="C32" s="213"/>
      <c r="D32" s="213"/>
      <c r="E32" s="213"/>
      <c r="F32" s="213"/>
      <c r="G32" s="213"/>
      <c r="H32" s="213"/>
    </row>
    <row r="33" spans="1:8" ht="24" customHeight="1">
      <c r="A33" s="87"/>
      <c r="B33" s="87"/>
      <c r="C33" s="87"/>
      <c r="D33" s="87"/>
      <c r="E33" s="87"/>
      <c r="F33" s="87"/>
      <c r="G33" s="87"/>
      <c r="H33" s="87"/>
    </row>
    <row r="34" spans="1:14" ht="15.75">
      <c r="A34" s="53" t="s">
        <v>155</v>
      </c>
      <c r="B34" s="53"/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</row>
    <row r="35" spans="1:14" ht="15.75">
      <c r="A35" s="53"/>
      <c r="B35" s="53"/>
      <c r="C35" s="53"/>
      <c r="D35" s="53"/>
      <c r="E35" s="53"/>
      <c r="F35" s="53"/>
      <c r="G35" s="53"/>
      <c r="H35" s="54"/>
      <c r="I35" s="54"/>
      <c r="J35" s="54"/>
      <c r="K35" s="54"/>
      <c r="L35" s="54"/>
      <c r="M35" s="54"/>
      <c r="N35" s="54"/>
    </row>
    <row r="36" spans="2:7" ht="49.5">
      <c r="B36" s="217" t="s">
        <v>157</v>
      </c>
      <c r="C36" s="89">
        <v>2013</v>
      </c>
      <c r="D36" s="89">
        <v>2014</v>
      </c>
      <c r="E36" s="89">
        <v>2015</v>
      </c>
      <c r="F36" s="218"/>
      <c r="G36" s="218"/>
    </row>
    <row r="37" spans="2:7" ht="24.75">
      <c r="B37" s="90" t="s">
        <v>94</v>
      </c>
      <c r="C37" s="91">
        <v>10539133</v>
      </c>
      <c r="D37" s="91">
        <v>11159392</v>
      </c>
      <c r="E37" s="91">
        <v>10294346</v>
      </c>
      <c r="F37" s="219"/>
      <c r="G37" s="220"/>
    </row>
    <row r="38" spans="2:7" ht="24.75">
      <c r="B38" s="88" t="s">
        <v>95</v>
      </c>
      <c r="C38" s="91">
        <v>2397785</v>
      </c>
      <c r="D38" s="91">
        <v>2381956</v>
      </c>
      <c r="E38" s="91">
        <v>2223729</v>
      </c>
      <c r="F38" s="219"/>
      <c r="G38" s="220"/>
    </row>
    <row r="39" spans="2:7" ht="24.75">
      <c r="B39" s="88" t="s">
        <v>72</v>
      </c>
      <c r="C39" s="93">
        <f>C38+C37</f>
        <v>12936918</v>
      </c>
      <c r="D39" s="93">
        <f>D38+D37</f>
        <v>13541348</v>
      </c>
      <c r="E39" s="93">
        <f>E38+E37</f>
        <v>12518075</v>
      </c>
      <c r="F39" s="219"/>
      <c r="G39" s="220"/>
    </row>
    <row r="41" spans="1:6" ht="24.75">
      <c r="A41" s="221" t="s">
        <v>168</v>
      </c>
      <c r="B41" s="203"/>
      <c r="C41" s="203"/>
      <c r="D41" s="203"/>
      <c r="E41" s="203"/>
      <c r="F41" s="203"/>
    </row>
    <row r="42" spans="1:4" ht="12.75">
      <c r="A42" s="70"/>
      <c r="B42" s="70"/>
      <c r="C42" s="70"/>
      <c r="D42" s="70"/>
    </row>
    <row r="43" spans="2:4" ht="24.75">
      <c r="B43" s="95" t="s">
        <v>96</v>
      </c>
      <c r="C43" s="95" t="s">
        <v>97</v>
      </c>
      <c r="D43" s="70"/>
    </row>
    <row r="44" spans="2:4" ht="24.75">
      <c r="B44" s="95" t="s">
        <v>98</v>
      </c>
      <c r="C44" s="96">
        <v>12542</v>
      </c>
      <c r="D44" s="70"/>
    </row>
    <row r="45" spans="2:4" ht="24.75">
      <c r="B45" s="95" t="s">
        <v>99</v>
      </c>
      <c r="C45" s="96">
        <v>924</v>
      </c>
      <c r="D45" s="70"/>
    </row>
    <row r="46" spans="2:4" ht="24.75">
      <c r="B46" s="97" t="s">
        <v>72</v>
      </c>
      <c r="C46" s="98">
        <f>C45+C44</f>
        <v>13466</v>
      </c>
      <c r="D46" s="70"/>
    </row>
    <row r="48" spans="1:7" ht="24.75" customHeight="1">
      <c r="A48" s="221" t="s">
        <v>169</v>
      </c>
      <c r="B48" s="203"/>
      <c r="C48" s="203"/>
      <c r="D48" s="203"/>
      <c r="E48" s="203"/>
      <c r="F48" s="94"/>
      <c r="G48" s="94"/>
    </row>
    <row r="49" spans="1:4" ht="18.75" customHeight="1">
      <c r="A49" s="214"/>
      <c r="B49" s="214"/>
      <c r="C49" s="214"/>
      <c r="D49" s="94"/>
    </row>
    <row r="50" spans="1:3" ht="24.75">
      <c r="A50" s="100"/>
      <c r="B50" s="95" t="s">
        <v>100</v>
      </c>
      <c r="C50" s="223" t="s">
        <v>97</v>
      </c>
    </row>
    <row r="51" spans="2:3" ht="24.75">
      <c r="B51" s="95" t="s">
        <v>102</v>
      </c>
      <c r="C51" s="101">
        <v>41</v>
      </c>
    </row>
    <row r="52" spans="2:3" ht="24.75">
      <c r="B52" s="95" t="s">
        <v>103</v>
      </c>
      <c r="C52" s="101">
        <v>42</v>
      </c>
    </row>
    <row r="53" spans="2:3" ht="24.75">
      <c r="B53" s="95" t="s">
        <v>104</v>
      </c>
      <c r="C53" s="101">
        <v>3267</v>
      </c>
    </row>
    <row r="54" spans="2:3" ht="24.75">
      <c r="B54" s="95" t="s">
        <v>105</v>
      </c>
      <c r="C54" s="101">
        <v>2233</v>
      </c>
    </row>
    <row r="55" spans="2:3" ht="24.75">
      <c r="B55" s="95" t="s">
        <v>106</v>
      </c>
      <c r="C55" s="101">
        <v>448</v>
      </c>
    </row>
    <row r="56" spans="2:3" ht="24.75">
      <c r="B56" s="95" t="s">
        <v>107</v>
      </c>
      <c r="C56" s="101">
        <v>1130</v>
      </c>
    </row>
    <row r="57" spans="2:3" ht="24.75">
      <c r="B57" s="95" t="s">
        <v>108</v>
      </c>
      <c r="C57" s="101">
        <v>1894</v>
      </c>
    </row>
    <row r="58" spans="2:3" ht="24.75">
      <c r="B58" s="95" t="s">
        <v>109</v>
      </c>
      <c r="C58" s="101">
        <v>1064</v>
      </c>
    </row>
    <row r="59" spans="2:3" ht="24.75">
      <c r="B59" s="95" t="s">
        <v>110</v>
      </c>
      <c r="C59" s="101">
        <v>135</v>
      </c>
    </row>
    <row r="60" spans="2:3" ht="24.75">
      <c r="B60" s="95" t="s">
        <v>111</v>
      </c>
      <c r="C60" s="102">
        <v>103</v>
      </c>
    </row>
    <row r="61" spans="2:3" ht="24.75">
      <c r="B61" s="103" t="s">
        <v>112</v>
      </c>
      <c r="C61" s="101">
        <v>1867</v>
      </c>
    </row>
    <row r="62" spans="2:3" ht="24.75">
      <c r="B62" s="103" t="s">
        <v>113</v>
      </c>
      <c r="C62" s="101">
        <v>310</v>
      </c>
    </row>
    <row r="63" spans="2:3" ht="24.75">
      <c r="B63" s="103" t="s">
        <v>114</v>
      </c>
      <c r="C63" s="101">
        <v>8</v>
      </c>
    </row>
    <row r="64" spans="2:3" ht="24.75">
      <c r="B64" s="97" t="s">
        <v>72</v>
      </c>
      <c r="C64" s="104">
        <f>SUM(C51:C63)</f>
        <v>12542</v>
      </c>
    </row>
    <row r="66" spans="1:4" ht="24.75">
      <c r="A66" s="222" t="s">
        <v>170</v>
      </c>
      <c r="B66" s="94"/>
      <c r="C66" s="94"/>
      <c r="D66" s="94"/>
    </row>
    <row r="67" spans="1:4" ht="24.75">
      <c r="A67" s="222"/>
      <c r="B67" s="94"/>
      <c r="C67" s="94"/>
      <c r="D67" s="94"/>
    </row>
    <row r="68" spans="1:3" ht="24.75">
      <c r="A68" s="94"/>
      <c r="B68" s="95" t="s">
        <v>100</v>
      </c>
      <c r="C68" s="223" t="s">
        <v>97</v>
      </c>
    </row>
    <row r="69" spans="2:3" ht="24.75">
      <c r="B69" s="95" t="s">
        <v>115</v>
      </c>
      <c r="C69" s="96">
        <v>77</v>
      </c>
    </row>
    <row r="70" spans="2:3" ht="24.75">
      <c r="B70" s="95" t="s">
        <v>116</v>
      </c>
      <c r="C70" s="96">
        <v>152</v>
      </c>
    </row>
    <row r="71" spans="2:3" ht="24.75">
      <c r="B71" s="95" t="s">
        <v>117</v>
      </c>
      <c r="C71" s="96">
        <v>36</v>
      </c>
    </row>
    <row r="72" spans="2:3" ht="24.75">
      <c r="B72" s="95" t="s">
        <v>118</v>
      </c>
      <c r="C72" s="96">
        <v>40</v>
      </c>
    </row>
    <row r="73" spans="2:3" ht="24.75">
      <c r="B73" s="95" t="s">
        <v>119</v>
      </c>
      <c r="C73" s="96">
        <v>272</v>
      </c>
    </row>
    <row r="74" spans="2:3" ht="24.75">
      <c r="B74" s="95" t="s">
        <v>120</v>
      </c>
      <c r="C74" s="96">
        <v>138</v>
      </c>
    </row>
    <row r="75" spans="2:3" ht="24.75">
      <c r="B75" s="95" t="s">
        <v>121</v>
      </c>
      <c r="C75" s="96">
        <v>45</v>
      </c>
    </row>
    <row r="76" spans="2:3" ht="24.75">
      <c r="B76" s="95" t="s">
        <v>122</v>
      </c>
      <c r="C76" s="96">
        <v>41</v>
      </c>
    </row>
    <row r="77" spans="2:3" ht="24.75">
      <c r="B77" s="103" t="s">
        <v>123</v>
      </c>
      <c r="C77" s="105">
        <v>28</v>
      </c>
    </row>
    <row r="78" spans="2:3" ht="24.75">
      <c r="B78" s="103" t="s">
        <v>124</v>
      </c>
      <c r="C78" s="105">
        <v>17</v>
      </c>
    </row>
    <row r="79" spans="2:3" ht="24.75">
      <c r="B79" s="103" t="s">
        <v>125</v>
      </c>
      <c r="C79" s="105">
        <v>78</v>
      </c>
    </row>
    <row r="80" spans="2:3" ht="24.75">
      <c r="B80" s="106" t="s">
        <v>72</v>
      </c>
      <c r="C80" s="107">
        <f>C78+C77+C76+C75+C74+C73+C72+C71+C70+C69+C79</f>
        <v>924</v>
      </c>
    </row>
    <row r="82" spans="1:7" ht="24.75">
      <c r="A82" s="239" t="s">
        <v>171</v>
      </c>
      <c r="B82" s="204"/>
      <c r="C82" s="204"/>
      <c r="D82" s="204"/>
      <c r="E82" s="204"/>
      <c r="F82" s="204"/>
      <c r="G82" s="204"/>
    </row>
    <row r="83" spans="1:7" ht="24.75">
      <c r="A83" s="108"/>
      <c r="B83" s="108"/>
      <c r="C83" s="108"/>
      <c r="D83" s="108"/>
      <c r="E83" s="108"/>
      <c r="F83" s="108"/>
      <c r="G83" s="108"/>
    </row>
    <row r="84" spans="1:14" ht="15.75">
      <c r="A84" s="53" t="s">
        <v>155</v>
      </c>
      <c r="B84" s="53"/>
      <c r="C84" s="53"/>
      <c r="D84" s="53"/>
      <c r="E84" s="53"/>
      <c r="F84" s="53"/>
      <c r="G84" s="53"/>
      <c r="H84" s="54"/>
      <c r="I84" s="54"/>
      <c r="J84" s="54"/>
      <c r="K84" s="54"/>
      <c r="L84" s="54"/>
      <c r="M84" s="54"/>
      <c r="N84" s="54"/>
    </row>
    <row r="85" spans="1:14" ht="15.75">
      <c r="A85" s="53"/>
      <c r="B85" s="53"/>
      <c r="C85" s="53"/>
      <c r="D85" s="53"/>
      <c r="E85" s="53"/>
      <c r="F85" s="53"/>
      <c r="G85" s="53"/>
      <c r="H85" s="54"/>
      <c r="I85" s="54"/>
      <c r="J85" s="54"/>
      <c r="K85" s="54"/>
      <c r="L85" s="54"/>
      <c r="M85" s="54"/>
      <c r="N85" s="54"/>
    </row>
    <row r="86" spans="2:5" ht="27.75">
      <c r="B86" s="109" t="s">
        <v>126</v>
      </c>
      <c r="C86" s="231" t="s">
        <v>127</v>
      </c>
      <c r="D86" s="95" t="s">
        <v>128</v>
      </c>
      <c r="E86" s="110"/>
    </row>
    <row r="87" spans="2:5" ht="24.75">
      <c r="B87" s="111" t="s">
        <v>129</v>
      </c>
      <c r="C87" s="112">
        <v>5385844</v>
      </c>
      <c r="D87" s="113">
        <f>C87/C93</f>
        <v>0.8136391996313893</v>
      </c>
      <c r="E87" s="114"/>
    </row>
    <row r="88" spans="2:5" ht="24.75">
      <c r="B88" s="111" t="s">
        <v>130</v>
      </c>
      <c r="C88" s="112">
        <v>553628</v>
      </c>
      <c r="D88" s="115">
        <f>C88/C93</f>
        <v>0.08363655590721283</v>
      </c>
      <c r="E88" s="114"/>
    </row>
    <row r="89" spans="2:5" ht="49.5">
      <c r="B89" s="111" t="s">
        <v>131</v>
      </c>
      <c r="C89" s="112">
        <v>136199</v>
      </c>
      <c r="D89" s="113">
        <f>C89/C93</f>
        <v>0.020575576520707912</v>
      </c>
      <c r="E89" s="114"/>
    </row>
    <row r="90" spans="2:5" ht="60.75" customHeight="1">
      <c r="B90" s="111" t="s">
        <v>132</v>
      </c>
      <c r="C90" s="112">
        <v>165780</v>
      </c>
      <c r="D90" s="113">
        <f>C90/C93</f>
        <v>0.02504437679867663</v>
      </c>
      <c r="E90" s="114"/>
    </row>
    <row r="91" spans="2:5" ht="74.25">
      <c r="B91" s="111" t="s">
        <v>133</v>
      </c>
      <c r="C91" s="112">
        <v>251081</v>
      </c>
      <c r="D91" s="113">
        <f>C91/C93</f>
        <v>0.0379307948545574</v>
      </c>
      <c r="E91" s="114"/>
    </row>
    <row r="92" spans="2:5" ht="49.5">
      <c r="B92" s="111" t="s">
        <v>134</v>
      </c>
      <c r="C92" s="112">
        <v>126918</v>
      </c>
      <c r="D92" s="113">
        <f>C92/C93</f>
        <v>0.019173496287455908</v>
      </c>
      <c r="E92" s="114"/>
    </row>
    <row r="93" spans="2:5" ht="24.75">
      <c r="B93" s="116" t="s">
        <v>72</v>
      </c>
      <c r="C93" s="117">
        <f>SUM(C87:C92)</f>
        <v>6619450</v>
      </c>
      <c r="D93" s="118">
        <f>SUM(D87:D92)</f>
        <v>1.0000000000000002</v>
      </c>
      <c r="E93" s="114"/>
    </row>
    <row r="95" spans="1:14" ht="24.75">
      <c r="A95" s="221" t="s">
        <v>172</v>
      </c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119"/>
      <c r="M95" s="119"/>
      <c r="N95" s="94"/>
    </row>
    <row r="96" spans="1:14" ht="24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119"/>
      <c r="M96" s="119"/>
      <c r="N96" s="94"/>
    </row>
    <row r="97" spans="1:14" ht="15.75">
      <c r="A97" s="53" t="s">
        <v>155</v>
      </c>
      <c r="B97" s="53"/>
      <c r="C97" s="53"/>
      <c r="D97" s="53"/>
      <c r="E97" s="53"/>
      <c r="F97" s="53"/>
      <c r="G97" s="53"/>
      <c r="H97" s="54"/>
      <c r="I97" s="54"/>
      <c r="J97" s="54"/>
      <c r="K97" s="54"/>
      <c r="L97" s="54"/>
      <c r="M97" s="54"/>
      <c r="N97" s="54"/>
    </row>
    <row r="98" spans="1:14" ht="16.5" thickBot="1">
      <c r="A98" s="53"/>
      <c r="B98" s="53"/>
      <c r="C98" s="53"/>
      <c r="D98" s="53"/>
      <c r="E98" s="53"/>
      <c r="F98" s="53"/>
      <c r="G98" s="53"/>
      <c r="H98" s="54"/>
      <c r="I98" s="54"/>
      <c r="J98" s="54"/>
      <c r="K98" s="54"/>
      <c r="L98" s="54"/>
      <c r="M98" s="54"/>
      <c r="N98" s="54"/>
    </row>
    <row r="99" spans="1:15" ht="47.25" customHeight="1" thickBot="1">
      <c r="A99" s="120"/>
      <c r="B99" s="225" t="s">
        <v>158</v>
      </c>
      <c r="C99" s="205" t="s">
        <v>135</v>
      </c>
      <c r="D99" s="206"/>
      <c r="E99" s="205" t="s">
        <v>130</v>
      </c>
      <c r="F99" s="206"/>
      <c r="G99" s="205" t="s">
        <v>136</v>
      </c>
      <c r="H99" s="207"/>
      <c r="I99" s="196" t="s">
        <v>137</v>
      </c>
      <c r="J99" s="206"/>
      <c r="K99" s="208" t="s">
        <v>138</v>
      </c>
      <c r="L99" s="209"/>
      <c r="M99" s="196" t="s">
        <v>139</v>
      </c>
      <c r="N99" s="197"/>
      <c r="O99" s="224" t="s">
        <v>72</v>
      </c>
    </row>
    <row r="100" spans="2:15" ht="21.75" thickBot="1">
      <c r="B100" s="226"/>
      <c r="C100" s="121" t="s">
        <v>127</v>
      </c>
      <c r="D100" s="122" t="s">
        <v>128</v>
      </c>
      <c r="E100" s="121" t="s">
        <v>127</v>
      </c>
      <c r="F100" s="122" t="s">
        <v>128</v>
      </c>
      <c r="G100" s="121" t="s">
        <v>127</v>
      </c>
      <c r="H100" s="123" t="s">
        <v>128</v>
      </c>
      <c r="I100" s="121" t="s">
        <v>127</v>
      </c>
      <c r="J100" s="122" t="s">
        <v>128</v>
      </c>
      <c r="K100" s="124" t="s">
        <v>127</v>
      </c>
      <c r="L100" s="122" t="s">
        <v>128</v>
      </c>
      <c r="M100" s="122" t="s">
        <v>127</v>
      </c>
      <c r="N100" s="122" t="s">
        <v>128</v>
      </c>
      <c r="O100" s="198"/>
    </row>
    <row r="101" spans="2:15" ht="21.75" thickBot="1">
      <c r="B101" s="122" t="s">
        <v>65</v>
      </c>
      <c r="C101" s="125">
        <v>477847</v>
      </c>
      <c r="D101" s="126">
        <f>C101/C107</f>
        <v>0.08872277028447166</v>
      </c>
      <c r="E101" s="127">
        <v>80095</v>
      </c>
      <c r="F101" s="128">
        <f>E101/E107</f>
        <v>0.14467295729262247</v>
      </c>
      <c r="G101" s="129">
        <v>9681</v>
      </c>
      <c r="H101" s="130">
        <f>G101/G107</f>
        <v>0.07107981703243049</v>
      </c>
      <c r="I101" s="131">
        <v>25494</v>
      </c>
      <c r="J101" s="132">
        <f>I101/I107</f>
        <v>0.1537821208830981</v>
      </c>
      <c r="K101" s="133">
        <v>1832</v>
      </c>
      <c r="L101" s="130">
        <f>K101/K107</f>
        <v>0.007296450149553331</v>
      </c>
      <c r="M101" s="129">
        <v>6386</v>
      </c>
      <c r="N101" s="126">
        <f>M101/M107</f>
        <v>0.050315952032020675</v>
      </c>
      <c r="O101" s="134">
        <f>M101+G101+E101+C101+I101+K101</f>
        <v>601335</v>
      </c>
    </row>
    <row r="102" spans="2:15" ht="21.75" thickBot="1">
      <c r="B102" s="122" t="s">
        <v>67</v>
      </c>
      <c r="C102" s="135">
        <v>3259727</v>
      </c>
      <c r="D102" s="136">
        <f>C102/C107</f>
        <v>0.6052397730049367</v>
      </c>
      <c r="E102" s="137">
        <v>368716</v>
      </c>
      <c r="F102" s="138">
        <f>E102/E107</f>
        <v>0.665999552045778</v>
      </c>
      <c r="G102" s="139">
        <v>110222</v>
      </c>
      <c r="H102" s="140">
        <f>G102/G107</f>
        <v>0.8092717273988795</v>
      </c>
      <c r="I102" s="141">
        <v>104919</v>
      </c>
      <c r="J102" s="142">
        <f>I102/I107</f>
        <v>0.632880926529135</v>
      </c>
      <c r="K102" s="135">
        <v>155612</v>
      </c>
      <c r="L102" s="140">
        <f>K102/K107</f>
        <v>0.6197681226377145</v>
      </c>
      <c r="M102" s="139">
        <v>87359</v>
      </c>
      <c r="N102" s="136">
        <f>M102/M107</f>
        <v>0.6883105627255394</v>
      </c>
      <c r="O102" s="143">
        <f>M102+K102+I102+G102+E102+C102</f>
        <v>4086555</v>
      </c>
    </row>
    <row r="103" spans="2:15" ht="21.75" thickBot="1">
      <c r="B103" s="122" t="s">
        <v>68</v>
      </c>
      <c r="C103" s="135">
        <v>422995</v>
      </c>
      <c r="D103" s="136">
        <f>C103/C107</f>
        <v>0.07853829409095399</v>
      </c>
      <c r="E103" s="137">
        <v>37445</v>
      </c>
      <c r="F103" s="138">
        <f>E103/E107</f>
        <v>0.06763566871617765</v>
      </c>
      <c r="G103" s="144">
        <v>2947</v>
      </c>
      <c r="H103" s="140">
        <f>G103/G107</f>
        <v>0.02163745695636532</v>
      </c>
      <c r="I103" s="141">
        <v>9111</v>
      </c>
      <c r="J103" s="142">
        <f>I103/I107</f>
        <v>0.054958378574013755</v>
      </c>
      <c r="K103" s="135">
        <v>62172</v>
      </c>
      <c r="L103" s="140">
        <f>K103/K107</f>
        <v>0.2476173027827673</v>
      </c>
      <c r="M103" s="139">
        <v>12496</v>
      </c>
      <c r="N103" s="136">
        <f>M103/M107</f>
        <v>0.0984572716241983</v>
      </c>
      <c r="O103" s="143">
        <f>M103+K103+I103+G103+E103+C103</f>
        <v>547166</v>
      </c>
    </row>
    <row r="104" spans="2:15" ht="21.75" thickBot="1">
      <c r="B104" s="122" t="s">
        <v>92</v>
      </c>
      <c r="C104" s="135">
        <v>741632</v>
      </c>
      <c r="D104" s="136">
        <f>C104/C107</f>
        <v>0.13770023788286478</v>
      </c>
      <c r="E104" s="137">
        <v>48940</v>
      </c>
      <c r="F104" s="138">
        <f>E104/E107</f>
        <v>0.08839870815782438</v>
      </c>
      <c r="G104" s="144">
        <v>3944</v>
      </c>
      <c r="H104" s="140">
        <f>G104/G107</f>
        <v>0.02895762817641833</v>
      </c>
      <c r="I104" s="145">
        <v>5564</v>
      </c>
      <c r="J104" s="142">
        <f>I104/I107</f>
        <v>0.03356255278079382</v>
      </c>
      <c r="K104" s="135">
        <v>20299</v>
      </c>
      <c r="L104" s="140">
        <f>K104/K107</f>
        <v>0.08084642007957592</v>
      </c>
      <c r="M104" s="139">
        <v>4349</v>
      </c>
      <c r="N104" s="136">
        <f>M104/M107</f>
        <v>0.03426621913361383</v>
      </c>
      <c r="O104" s="143">
        <f>M104+K104+I104+G104+E104+C104</f>
        <v>824728</v>
      </c>
    </row>
    <row r="105" spans="2:15" ht="21.75" thickBot="1">
      <c r="B105" s="122" t="s">
        <v>70</v>
      </c>
      <c r="C105" s="135">
        <v>417501</v>
      </c>
      <c r="D105" s="136">
        <f>C105/C107</f>
        <v>0.07751821255870017</v>
      </c>
      <c r="E105" s="137">
        <v>13773</v>
      </c>
      <c r="F105" s="138">
        <f>E105/E107</f>
        <v>0.024877715722470686</v>
      </c>
      <c r="G105" s="144">
        <v>1375</v>
      </c>
      <c r="H105" s="140">
        <f>G105/G107</f>
        <v>0.01009552199355355</v>
      </c>
      <c r="I105" s="145" t="s">
        <v>140</v>
      </c>
      <c r="J105" s="146" t="s">
        <v>140</v>
      </c>
      <c r="K105" s="135">
        <v>5143</v>
      </c>
      <c r="L105" s="140">
        <f>K105/K107</f>
        <v>0.020483429650192567</v>
      </c>
      <c r="M105" s="139">
        <v>6227</v>
      </c>
      <c r="N105" s="136">
        <f>M105/M107</f>
        <v>0.04906317464819805</v>
      </c>
      <c r="O105" s="143">
        <f>M105+K105+E105+C105+G105</f>
        <v>444019</v>
      </c>
    </row>
    <row r="106" spans="2:15" ht="21.75" thickBot="1">
      <c r="B106" s="122" t="s">
        <v>141</v>
      </c>
      <c r="C106" s="147">
        <v>66142</v>
      </c>
      <c r="D106" s="148">
        <f>C106/C107</f>
        <v>0.01228071217807274</v>
      </c>
      <c r="E106" s="149">
        <v>4659</v>
      </c>
      <c r="F106" s="150">
        <f>E106/E107</f>
        <v>0.008415398065126764</v>
      </c>
      <c r="G106" s="151">
        <v>8030</v>
      </c>
      <c r="H106" s="152">
        <f>G106/G107</f>
        <v>0.05895784844235273</v>
      </c>
      <c r="I106" s="153">
        <v>20692</v>
      </c>
      <c r="J106" s="154">
        <f>I106/I107</f>
        <v>0.12481602123295935</v>
      </c>
      <c r="K106" s="147">
        <v>6023</v>
      </c>
      <c r="L106" s="155">
        <f>K106/K107</f>
        <v>0.023988274700196353</v>
      </c>
      <c r="M106" s="151">
        <v>10101</v>
      </c>
      <c r="N106" s="148">
        <f>M106/M107</f>
        <v>0.07958681983642982</v>
      </c>
      <c r="O106" s="156">
        <f>K106+E106+C106+G106+I106+M106</f>
        <v>115647</v>
      </c>
    </row>
    <row r="107" spans="2:15" ht="21.75" thickBot="1">
      <c r="B107" s="157" t="s">
        <v>72</v>
      </c>
      <c r="C107" s="158">
        <f>SUM(C101:C106)</f>
        <v>5385844</v>
      </c>
      <c r="D107" s="159">
        <f>D106+D105+D104+D103+D102+D101</f>
        <v>1</v>
      </c>
      <c r="E107" s="160">
        <f>SUM(E101:E106)</f>
        <v>553628</v>
      </c>
      <c r="F107" s="161">
        <f>F106+F105+F104+F103+F102+F101</f>
        <v>1</v>
      </c>
      <c r="G107" s="162">
        <f>G106+G105+G104+G103+G102+G101</f>
        <v>136199</v>
      </c>
      <c r="H107" s="163">
        <f>SUM(H101:H106)</f>
        <v>1</v>
      </c>
      <c r="I107" s="164">
        <f>SUM(I101:I106)</f>
        <v>165780</v>
      </c>
      <c r="J107" s="165">
        <f>SUM(J101:J106)</f>
        <v>0.9999999999999999</v>
      </c>
      <c r="K107" s="158">
        <f>SUM(K101:K106)</f>
        <v>251081</v>
      </c>
      <c r="L107" s="166">
        <f>SUM(L101:L106)</f>
        <v>1</v>
      </c>
      <c r="M107" s="162">
        <f>M106+M105+M104+M103+M102+M101</f>
        <v>126918</v>
      </c>
      <c r="N107" s="159">
        <f>SUM(N101:N106)</f>
        <v>1</v>
      </c>
      <c r="O107" s="167">
        <f>M107+K107+I107+G107+E107+C107</f>
        <v>6619450</v>
      </c>
    </row>
    <row r="109" spans="1:8" ht="24.75">
      <c r="A109" s="229" t="s">
        <v>173</v>
      </c>
      <c r="B109" s="199"/>
      <c r="C109" s="199"/>
      <c r="D109" s="199"/>
      <c r="E109" s="199"/>
      <c r="F109" s="199"/>
      <c r="G109" s="199"/>
      <c r="H109" s="199"/>
    </row>
    <row r="110" spans="1:8" ht="24.75">
      <c r="A110" s="168"/>
      <c r="B110" s="168"/>
      <c r="C110" s="168"/>
      <c r="D110" s="168"/>
      <c r="E110" s="168"/>
      <c r="F110" s="168"/>
      <c r="G110" s="168"/>
      <c r="H110" s="168"/>
    </row>
    <row r="111" spans="1:5" ht="24.75">
      <c r="A111" s="169"/>
      <c r="B111" s="223" t="s">
        <v>159</v>
      </c>
      <c r="C111" s="170" t="s">
        <v>101</v>
      </c>
      <c r="D111" s="169"/>
      <c r="E111" s="169"/>
    </row>
    <row r="112" spans="2:8" ht="15.75">
      <c r="B112" s="176">
        <v>2013</v>
      </c>
      <c r="C112" s="96">
        <v>7014</v>
      </c>
      <c r="D112" s="227"/>
      <c r="E112" s="227"/>
      <c r="H112" s="171"/>
    </row>
    <row r="113" spans="2:8" ht="15.75">
      <c r="B113" s="176">
        <v>2014</v>
      </c>
      <c r="C113" s="172">
        <v>6779</v>
      </c>
      <c r="D113" s="228"/>
      <c r="E113" s="228"/>
      <c r="H113" s="173"/>
    </row>
    <row r="114" spans="2:3" ht="15.75">
      <c r="B114" s="176">
        <v>2015</v>
      </c>
      <c r="C114" s="172">
        <v>6302</v>
      </c>
    </row>
    <row r="115" spans="6:7" ht="15.75">
      <c r="F115" s="227"/>
      <c r="G115" s="228"/>
    </row>
    <row r="116" spans="1:7" ht="21.75" customHeight="1">
      <c r="A116" s="230" t="s">
        <v>174</v>
      </c>
      <c r="B116" s="200"/>
      <c r="C116" s="200"/>
      <c r="D116" s="200"/>
      <c r="E116" s="200"/>
      <c r="F116" s="171"/>
      <c r="G116" s="171"/>
    </row>
    <row r="117" spans="1:7" ht="16.5" customHeight="1">
      <c r="A117" s="174"/>
      <c r="B117" s="174"/>
      <c r="C117" s="174"/>
      <c r="D117" s="174"/>
      <c r="E117" s="174"/>
      <c r="F117" s="171"/>
      <c r="G117" s="171"/>
    </row>
    <row r="118" spans="1:8" ht="15.75">
      <c r="A118" s="175"/>
      <c r="B118" s="233" t="s">
        <v>160</v>
      </c>
      <c r="C118" s="201">
        <v>2013</v>
      </c>
      <c r="D118" s="201"/>
      <c r="E118" s="201">
        <v>2014</v>
      </c>
      <c r="F118" s="201"/>
      <c r="G118" s="202">
        <v>2015</v>
      </c>
      <c r="H118" s="202"/>
    </row>
    <row r="119" spans="2:8" ht="24.75">
      <c r="B119" s="234"/>
      <c r="C119" s="223" t="s">
        <v>127</v>
      </c>
      <c r="D119" s="95" t="s">
        <v>97</v>
      </c>
      <c r="E119" s="223" t="s">
        <v>127</v>
      </c>
      <c r="F119" s="95" t="s">
        <v>97</v>
      </c>
      <c r="G119" s="232" t="s">
        <v>127</v>
      </c>
      <c r="H119" s="46" t="s">
        <v>97</v>
      </c>
    </row>
    <row r="120" spans="2:8" ht="24.75">
      <c r="B120" s="95" t="s">
        <v>65</v>
      </c>
      <c r="C120" s="177">
        <v>687812</v>
      </c>
      <c r="D120" s="178">
        <v>129</v>
      </c>
      <c r="E120" s="177">
        <v>576364</v>
      </c>
      <c r="F120" s="178">
        <v>131</v>
      </c>
      <c r="G120" s="177">
        <v>380319</v>
      </c>
      <c r="H120" s="178">
        <v>102</v>
      </c>
    </row>
    <row r="121" spans="2:8" ht="24.75">
      <c r="B121" s="95" t="s">
        <v>67</v>
      </c>
      <c r="C121" s="177">
        <v>4585161</v>
      </c>
      <c r="D121" s="92">
        <v>3166</v>
      </c>
      <c r="E121" s="177">
        <v>4468140</v>
      </c>
      <c r="F121" s="92">
        <v>2892</v>
      </c>
      <c r="G121" s="177">
        <v>4308860</v>
      </c>
      <c r="H121" s="92">
        <v>2676</v>
      </c>
    </row>
    <row r="122" spans="2:8" ht="24.75">
      <c r="B122" s="95" t="s">
        <v>68</v>
      </c>
      <c r="C122" s="179">
        <v>940648</v>
      </c>
      <c r="D122" s="180">
        <v>1237</v>
      </c>
      <c r="E122" s="179">
        <v>1037506</v>
      </c>
      <c r="F122" s="180">
        <v>975</v>
      </c>
      <c r="G122" s="179">
        <v>892895</v>
      </c>
      <c r="H122" s="180">
        <v>861</v>
      </c>
    </row>
    <row r="123" spans="2:8" ht="24.75">
      <c r="B123" s="95" t="s">
        <v>92</v>
      </c>
      <c r="C123" s="179">
        <v>798580</v>
      </c>
      <c r="D123" s="180">
        <v>1258</v>
      </c>
      <c r="E123" s="179">
        <v>1127791</v>
      </c>
      <c r="F123" s="180">
        <v>1384</v>
      </c>
      <c r="G123" s="179">
        <v>1195005</v>
      </c>
      <c r="H123" s="180">
        <v>1418</v>
      </c>
    </row>
    <row r="124" spans="2:8" ht="24.75">
      <c r="B124" s="95" t="s">
        <v>70</v>
      </c>
      <c r="C124" s="179">
        <v>1200742</v>
      </c>
      <c r="D124" s="180">
        <v>1152</v>
      </c>
      <c r="E124" s="179">
        <v>897244</v>
      </c>
      <c r="F124" s="180">
        <v>1311</v>
      </c>
      <c r="G124" s="179">
        <v>859772</v>
      </c>
      <c r="H124" s="180">
        <v>1177</v>
      </c>
    </row>
    <row r="125" spans="2:8" ht="24.75">
      <c r="B125" s="95" t="s">
        <v>91</v>
      </c>
      <c r="C125" s="179">
        <v>61353</v>
      </c>
      <c r="D125" s="180">
        <v>74</v>
      </c>
      <c r="E125" s="179">
        <v>99136</v>
      </c>
      <c r="F125" s="180">
        <v>86</v>
      </c>
      <c r="G125" s="179">
        <v>64692</v>
      </c>
      <c r="H125" s="180">
        <v>68</v>
      </c>
    </row>
    <row r="126" spans="2:8" ht="24.75">
      <c r="B126" s="97" t="s">
        <v>72</v>
      </c>
      <c r="C126" s="181">
        <f aca="true" t="shared" si="4" ref="C126:H126">C125+C124+C123+C122+C121+C120</f>
        <v>8274296</v>
      </c>
      <c r="D126" s="182">
        <f t="shared" si="4"/>
        <v>7016</v>
      </c>
      <c r="E126" s="181">
        <f t="shared" si="4"/>
        <v>8206181</v>
      </c>
      <c r="F126" s="182">
        <f t="shared" si="4"/>
        <v>6779</v>
      </c>
      <c r="G126" s="181">
        <f t="shared" si="4"/>
        <v>7701543</v>
      </c>
      <c r="H126" s="182">
        <f t="shared" si="4"/>
        <v>6302</v>
      </c>
    </row>
    <row r="128" spans="1:5" ht="23.25">
      <c r="A128" s="235" t="s">
        <v>175</v>
      </c>
      <c r="B128" s="195"/>
      <c r="C128" s="195"/>
      <c r="D128" s="195"/>
      <c r="E128" s="195"/>
    </row>
    <row r="130" spans="2:3" ht="23.25">
      <c r="B130" s="46" t="s">
        <v>100</v>
      </c>
      <c r="C130" s="46" t="s">
        <v>101</v>
      </c>
    </row>
    <row r="131" spans="2:3" ht="23.25">
      <c r="B131" s="183" t="s">
        <v>142</v>
      </c>
      <c r="C131" s="184">
        <v>1438</v>
      </c>
    </row>
    <row r="132" spans="2:3" ht="23.25">
      <c r="B132" s="183" t="s">
        <v>143</v>
      </c>
      <c r="C132" s="184">
        <v>768</v>
      </c>
    </row>
    <row r="133" spans="2:3" ht="23.25">
      <c r="B133" s="183" t="s">
        <v>144</v>
      </c>
      <c r="C133" s="184">
        <v>178</v>
      </c>
    </row>
    <row r="134" spans="2:3" ht="23.25">
      <c r="B134" s="183" t="s">
        <v>145</v>
      </c>
      <c r="C134" s="184">
        <v>60</v>
      </c>
    </row>
    <row r="135" spans="2:3" ht="23.25">
      <c r="B135" s="183" t="s">
        <v>146</v>
      </c>
      <c r="C135" s="184">
        <v>296</v>
      </c>
    </row>
    <row r="136" spans="2:3" ht="23.25">
      <c r="B136" s="183" t="s">
        <v>147</v>
      </c>
      <c r="C136" s="184">
        <v>1401</v>
      </c>
    </row>
    <row r="137" spans="2:3" ht="23.25">
      <c r="B137" s="183" t="s">
        <v>148</v>
      </c>
      <c r="C137" s="184">
        <v>40</v>
      </c>
    </row>
    <row r="138" spans="2:3" ht="23.25">
      <c r="B138" s="183" t="s">
        <v>149</v>
      </c>
      <c r="C138" s="184">
        <v>101</v>
      </c>
    </row>
    <row r="139" spans="2:3" ht="23.25">
      <c r="B139" s="183" t="s">
        <v>150</v>
      </c>
      <c r="C139" s="184">
        <v>303</v>
      </c>
    </row>
    <row r="140" spans="2:3" ht="23.25">
      <c r="B140" s="183" t="s">
        <v>151</v>
      </c>
      <c r="C140" s="184">
        <v>59</v>
      </c>
    </row>
    <row r="141" spans="2:3" ht="23.25">
      <c r="B141" s="183" t="s">
        <v>152</v>
      </c>
      <c r="C141" s="184">
        <v>524</v>
      </c>
    </row>
    <row r="142" spans="2:3" ht="23.25">
      <c r="B142" s="183" t="s">
        <v>153</v>
      </c>
      <c r="C142" s="184">
        <v>124</v>
      </c>
    </row>
    <row r="143" spans="2:3" ht="23.25">
      <c r="B143" s="183" t="s">
        <v>114</v>
      </c>
      <c r="C143" s="184">
        <v>95</v>
      </c>
    </row>
    <row r="144" spans="2:3" ht="23.25">
      <c r="B144" s="51" t="s">
        <v>72</v>
      </c>
      <c r="C144" s="185">
        <f>C143+C142+C141+C140+C139+C138+C137+C136+C135+C134+C133+C132+C131</f>
        <v>5387</v>
      </c>
    </row>
    <row r="145" spans="1:2" ht="23.25">
      <c r="A145" s="186"/>
      <c r="B145" s="186"/>
    </row>
    <row r="146" spans="1:5" ht="23.25">
      <c r="A146" s="236" t="s">
        <v>176</v>
      </c>
      <c r="B146" s="237"/>
      <c r="C146" s="237"/>
      <c r="D146" s="237"/>
      <c r="E146" s="237"/>
    </row>
    <row r="148" spans="2:5" ht="46.5">
      <c r="B148" s="238" t="s">
        <v>162</v>
      </c>
      <c r="C148" s="47">
        <v>2013</v>
      </c>
      <c r="D148" s="47">
        <v>2014</v>
      </c>
      <c r="E148" s="48">
        <v>2015</v>
      </c>
    </row>
    <row r="149" spans="2:5" ht="23.25">
      <c r="B149" s="46" t="s">
        <v>65</v>
      </c>
      <c r="C149" s="49" t="s">
        <v>66</v>
      </c>
      <c r="D149" s="49" t="s">
        <v>66</v>
      </c>
      <c r="E149" s="49" t="s">
        <v>66</v>
      </c>
    </row>
    <row r="150" spans="2:5" ht="23.25">
      <c r="B150" s="46" t="s">
        <v>67</v>
      </c>
      <c r="C150" s="50">
        <f>953333+1954636+23504+48293</f>
        <v>2979766</v>
      </c>
      <c r="D150" s="50">
        <v>1987050</v>
      </c>
      <c r="E150" s="50">
        <v>2501729</v>
      </c>
    </row>
    <row r="151" spans="2:5" ht="23.25">
      <c r="B151" s="46" t="s">
        <v>68</v>
      </c>
      <c r="C151" s="50">
        <f>1396995+137321+413099+179702</f>
        <v>2127117</v>
      </c>
      <c r="D151" s="50">
        <v>2098204</v>
      </c>
      <c r="E151" s="50">
        <v>3295843</v>
      </c>
    </row>
    <row r="152" spans="2:5" ht="23.25">
      <c r="B152" s="46" t="s">
        <v>69</v>
      </c>
      <c r="C152" s="50">
        <f>2231716+968607+68559</f>
        <v>3268882</v>
      </c>
      <c r="D152" s="50">
        <v>3483102</v>
      </c>
      <c r="E152" s="50">
        <v>3458667</v>
      </c>
    </row>
    <row r="153" spans="2:5" ht="23.25">
      <c r="B153" s="46" t="s">
        <v>70</v>
      </c>
      <c r="C153" s="50">
        <f>1320172+1519813+86069</f>
        <v>2926054</v>
      </c>
      <c r="D153" s="50">
        <v>1388392</v>
      </c>
      <c r="E153" s="50">
        <v>1975316</v>
      </c>
    </row>
    <row r="154" spans="2:5" ht="23.25">
      <c r="B154" s="46" t="s">
        <v>71</v>
      </c>
      <c r="C154" s="50">
        <f>29336+121793</f>
        <v>151129</v>
      </c>
      <c r="D154" s="50">
        <v>223543</v>
      </c>
      <c r="E154" s="50">
        <v>68898</v>
      </c>
    </row>
    <row r="155" spans="2:5" ht="23.25">
      <c r="B155" s="51" t="s">
        <v>72</v>
      </c>
      <c r="C155" s="52">
        <f>C153+C152+C151+C154+C150</f>
        <v>11452948</v>
      </c>
      <c r="D155" s="52">
        <f>D153+D152+D151+D154+D150</f>
        <v>9180291</v>
      </c>
      <c r="E155" s="52">
        <f>E153+E152+E151+E154+E150</f>
        <v>11300453</v>
      </c>
    </row>
    <row r="157" s="56" customFormat="1" ht="14.25">
      <c r="A157" s="56" t="s">
        <v>161</v>
      </c>
    </row>
  </sheetData>
  <sheetProtection/>
  <mergeCells count="24">
    <mergeCell ref="A1:G1"/>
    <mergeCell ref="A10:G10"/>
    <mergeCell ref="A21:H21"/>
    <mergeCell ref="A32:H32"/>
    <mergeCell ref="A48:E48"/>
    <mergeCell ref="A49:C49"/>
    <mergeCell ref="A41:F41"/>
    <mergeCell ref="A82:G82"/>
    <mergeCell ref="A95:K95"/>
    <mergeCell ref="C99:D99"/>
    <mergeCell ref="E99:F99"/>
    <mergeCell ref="G99:H99"/>
    <mergeCell ref="I99:J99"/>
    <mergeCell ref="K99:L99"/>
    <mergeCell ref="B99:B100"/>
    <mergeCell ref="A128:E128"/>
    <mergeCell ref="M99:N99"/>
    <mergeCell ref="O99:O100"/>
    <mergeCell ref="A109:H109"/>
    <mergeCell ref="A116:E116"/>
    <mergeCell ref="B118:B119"/>
    <mergeCell ref="C118:D118"/>
    <mergeCell ref="E118:F118"/>
    <mergeCell ref="G118:H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2009-02-24T09:49:48Z</cp:lastPrinted>
  <dcterms:created xsi:type="dcterms:W3CDTF">2006-02-24T09:38:25Z</dcterms:created>
  <dcterms:modified xsi:type="dcterms:W3CDTF">2016-10-04T07:34:26Z</dcterms:modified>
  <cp:category/>
  <cp:version/>
  <cp:contentType/>
  <cp:contentStatus/>
</cp:coreProperties>
</file>