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5" windowHeight="4260" tabRatio="601" activeTab="0"/>
  </bookViews>
  <sheets>
    <sheet name="5.27" sheetId="1" r:id="rId1"/>
    <sheet name="5.27a" sheetId="2" r:id="rId2"/>
    <sheet name="5.27b" sheetId="3" r:id="rId3"/>
    <sheet name="5.27c" sheetId="4" r:id="rId4"/>
    <sheet name="5.28" sheetId="5" r:id="rId5"/>
  </sheets>
  <definedNames/>
  <calcPr fullCalcOnLoad="1"/>
</workbook>
</file>

<file path=xl/sharedStrings.xml><?xml version="1.0" encoding="utf-8"?>
<sst xmlns="http://schemas.openxmlformats.org/spreadsheetml/2006/main" count="265" uniqueCount="57">
  <si>
    <t>Tableau fait par l'ACS / Table made by CAS / جدول محضر في إدارة الإحصاء المركزي</t>
  </si>
  <si>
    <t>Source:  Services fonciers des cazas cités / Source : Rela-estate service of Cazas /  المصدر : السجل العقاري لكل قضاء</t>
  </si>
  <si>
    <t>Opérations enregistrées / Registered Transactions / العمليات المسجلة</t>
  </si>
  <si>
    <t>Ventes, donations et successions / Sales, donations and successions / بيوعات وهبات وانتقالات</t>
  </si>
  <si>
    <t>Nombre / Number / العدد</t>
  </si>
  <si>
    <t>Baabda Aaley Chouf / بعبدا عاليه الشوف</t>
  </si>
  <si>
    <t>Kesrouan Jbayl / كسروان جبيل</t>
  </si>
  <si>
    <t>Matn / المتن</t>
  </si>
  <si>
    <t>Liban-Sud / South Lebanon / الجنوب</t>
  </si>
  <si>
    <t>Nabatiyeh / Nabatieh / النبطية</t>
  </si>
  <si>
    <t>Montant  en millions L.L. / Value in millions of LBP / القيمة بملايين الليرات</t>
  </si>
  <si>
    <t>Hypothèques foncières / Real-estate mortagages / الرهونات العقارية</t>
  </si>
  <si>
    <t>Hypothèques levées / Levied mortagages / رهونات مرفوعة</t>
  </si>
  <si>
    <t>Saisies effectuées / Seize / حجز</t>
  </si>
  <si>
    <t>Saisies levées / Levied seize / فك حجز</t>
  </si>
  <si>
    <t xml:space="preserve">  Transactions et contrats/ Transactions &amp; contracts / معاملات وعقود</t>
  </si>
  <si>
    <t>Taxes / Taxes / ضرائب</t>
  </si>
  <si>
    <t>Montant  en millions L.L. / value in millions of LBP / القيمة بملايين الليرات</t>
  </si>
  <si>
    <t>Opérations / Transactions / العمليات</t>
  </si>
  <si>
    <t>Ventes, donations et sucessions / Sales, donations &amp; successions / البيوعات والهبات والانتقال</t>
  </si>
  <si>
    <t>Hypothèques levées / Levied mortagages / الرهونات المرفوعة</t>
  </si>
  <si>
    <t>Saisies effectuées / Seizes / الحجز</t>
  </si>
  <si>
    <t>Saisies levées / Levied seizes / فك حجز</t>
  </si>
  <si>
    <t>Immobilisations / Real-estate / العقارات</t>
  </si>
  <si>
    <t>Transactions et contrats / Transactions &amp; contracts / المعاملات والعقارات</t>
  </si>
  <si>
    <t>Montant en millions LL / Value in millions of LBP / القيمة بملايين الليرات</t>
  </si>
  <si>
    <t>Janvier / January / كانون ثاني</t>
  </si>
  <si>
    <t>Février / February / شباط</t>
  </si>
  <si>
    <t xml:space="preserve">Mars / March / آذار </t>
  </si>
  <si>
    <t>Taxes principales / Main taxes / ضرائب أساسية</t>
  </si>
  <si>
    <t>Taxes payées par les étrangers / Taxes paid by foreigners / الرسوم عن الأجانب</t>
  </si>
  <si>
    <t>Taxes encaissées dans les contrats de vente / Received taxes in sale contracts / الرسوم المستوفاة عن عقود البيع</t>
  </si>
  <si>
    <t>Taxe municipale encaissée / Received municipal tax / مجمل الرسم البلدي المستوفى</t>
  </si>
  <si>
    <t>Total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</si>
  <si>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</si>
  <si>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</si>
  <si>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</si>
  <si>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</si>
  <si>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</si>
  <si>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</si>
  <si>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</si>
  <si>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</si>
  <si>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</si>
  <si>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Beyrouth / Beirut / بيروت</t>
  </si>
  <si>
    <t>Béqaa / Bekaa / البقاع</t>
  </si>
  <si>
    <t>Liban-Nord 1 / North Lebanon 1 / لبنان الشمالي 1</t>
  </si>
  <si>
    <t>Liban-Nord 2 / North Lebanon 2 / لبنان الشمالي 2</t>
  </si>
  <si>
    <t>Immobilisations, transactions / Real-Estate, transaction / عقارات ومعاملات</t>
  </si>
  <si>
    <t>Tableau 5.27  Opérations immobilières - Registre foncier - Suite 1 / Table 5.27 - Real-estate transactions - Real-Estate Register - Cont. 1 / جدول رقم 5.27 - العمليات العقارية - السجل العقاري - تابع 1</t>
  </si>
  <si>
    <t>Tableau 5.27 - Opérations immobilières - Registre foncier - Suite 3 / Table 5.27 - Real-estate transaction - Real-Estate Register - Cont. 3 / جدول رقم 5.27 - العمليات العقارية - السجل العقاري - تابع 3</t>
  </si>
  <si>
    <t>Tableau 5.28 - Opérations immobilières - Tribunal foncier / Table 5.28 - Real-Estate transactions - Real-estate court / جدول رقم 5.28 - المعملات العقارية - المحكمة العقارية</t>
  </si>
  <si>
    <t>Tableau 5.27 - Opérations immobilières - Registre foncier / Table 5.27 - Real-estate transactions - Real Estate Register / جدول رقم 5.27 - العمليات العقارية - السجل العقاري</t>
  </si>
  <si>
    <t>Hypothèques foncières / Real estate mortagages / الرهونات العقارية</t>
  </si>
  <si>
    <t>Immobilisations / Real estate / عقارات</t>
  </si>
  <si>
    <t>Tableau 5.27 - Opérations immobilières - Registre foncier - Suite 2 / Table 5.27 - Real estate transaction - Real-Estate Register - Cont. 2 / جدول رقم 5.27 - العمليات العقارية - السجل العقاري - تابع 2</t>
  </si>
  <si>
    <t xml:space="preserve">  Au lieu de la perte / Instead of lost / بدل عن ضائع</t>
  </si>
  <si>
    <t>Total 2010 / مجموع 2010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</si>
</sst>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0.0000000000"/>
  </numFmts>
  <fonts count="51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6" fillId="0" borderId="0" xfId="0" applyFont="1" applyFill="1" applyBorder="1" applyAlignment="1">
      <alignment vertical="center" readingOrder="1"/>
    </xf>
    <xf numFmtId="0" fontId="6" fillId="0" borderId="0" xfId="0" applyFont="1" applyFill="1" applyAlignment="1">
      <alignment horizontal="right" vertical="center" readingOrder="1"/>
    </xf>
    <xf numFmtId="0" fontId="14" fillId="0" borderId="0" xfId="0" applyFont="1" applyFill="1" applyBorder="1" applyAlignment="1">
      <alignment horizontal="center" vertical="center" readingOrder="1"/>
    </xf>
    <xf numFmtId="0" fontId="11" fillId="0" borderId="0" xfId="0" applyFont="1" applyFill="1" applyAlignment="1">
      <alignment horizontal="right" vertical="center" readingOrder="1"/>
    </xf>
    <xf numFmtId="0" fontId="6" fillId="0" borderId="0" xfId="0" applyFont="1" applyFill="1" applyBorder="1" applyAlignment="1">
      <alignment horizontal="left" vertical="center" readingOrder="1"/>
    </xf>
    <xf numFmtId="0" fontId="9" fillId="0" borderId="0" xfId="0" applyFont="1" applyFill="1" applyBorder="1" applyAlignment="1">
      <alignment vertical="center" textRotation="90" readingOrder="1"/>
    </xf>
    <xf numFmtId="0" fontId="12" fillId="0" borderId="0" xfId="0" applyFont="1" applyFill="1" applyBorder="1" applyAlignment="1">
      <alignment vertical="center" textRotation="90" readingOrder="1"/>
    </xf>
    <xf numFmtId="0" fontId="9" fillId="0" borderId="0" xfId="0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center" vertical="center" readingOrder="1"/>
    </xf>
    <xf numFmtId="0" fontId="7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textRotation="90" wrapText="1" readingOrder="1"/>
    </xf>
    <xf numFmtId="3" fontId="16" fillId="0" borderId="11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 readingOrder="1"/>
    </xf>
    <xf numFmtId="3" fontId="16" fillId="0" borderId="13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 readingOrder="1"/>
    </xf>
    <xf numFmtId="3" fontId="16" fillId="0" borderId="12" xfId="0" applyNumberFormat="1" applyFont="1" applyFill="1" applyBorder="1" applyAlignment="1">
      <alignment vertical="center" readingOrder="1"/>
    </xf>
    <xf numFmtId="3" fontId="16" fillId="0" borderId="14" xfId="0" applyNumberFormat="1" applyFont="1" applyFill="1" applyBorder="1" applyAlignment="1">
      <alignment vertical="center" readingOrder="1"/>
    </xf>
    <xf numFmtId="3" fontId="16" fillId="0" borderId="13" xfId="0" applyNumberFormat="1" applyFont="1" applyFill="1" applyBorder="1" applyAlignment="1">
      <alignment vertical="center" readingOrder="1"/>
    </xf>
    <xf numFmtId="3" fontId="16" fillId="0" borderId="13" xfId="42" applyNumberFormat="1" applyFont="1" applyFill="1" applyBorder="1" applyAlignment="1">
      <alignment horizontal="right" vertical="center" readingOrder="1"/>
    </xf>
    <xf numFmtId="0" fontId="7" fillId="0" borderId="14" xfId="62" applyFont="1" applyFill="1" applyBorder="1" applyAlignment="1">
      <alignment horizontal="left" vertical="center" wrapText="1" readingOrder="1"/>
      <protection/>
    </xf>
    <xf numFmtId="3" fontId="10" fillId="0" borderId="14" xfId="42" applyNumberFormat="1" applyFont="1" applyFill="1" applyBorder="1" applyAlignment="1">
      <alignment horizontal="right" vertical="center" readingOrder="1"/>
    </xf>
    <xf numFmtId="0" fontId="7" fillId="0" borderId="11" xfId="62" applyFont="1" applyFill="1" applyBorder="1" applyAlignment="1">
      <alignment horizontal="left" vertical="center" wrapText="1" readingOrder="1"/>
      <protection/>
    </xf>
    <xf numFmtId="3" fontId="10" fillId="0" borderId="11" xfId="42" applyNumberFormat="1" applyFont="1" applyFill="1" applyBorder="1" applyAlignment="1">
      <alignment horizontal="right" vertical="center" readingOrder="1"/>
    </xf>
    <xf numFmtId="0" fontId="7" fillId="0" borderId="11" xfId="62" applyFont="1" applyFill="1" applyBorder="1" applyAlignment="1">
      <alignment horizontal="left" vertical="center" readingOrder="1"/>
      <protection/>
    </xf>
    <xf numFmtId="0" fontId="7" fillId="0" borderId="12" xfId="62" applyFont="1" applyFill="1" applyBorder="1" applyAlignment="1">
      <alignment horizontal="left" vertical="center" wrapText="1" readingOrder="1"/>
      <protection/>
    </xf>
    <xf numFmtId="3" fontId="10" fillId="0" borderId="12" xfId="42" applyNumberFormat="1" applyFont="1" applyFill="1" applyBorder="1" applyAlignment="1">
      <alignment horizontal="right" vertical="center" readingOrder="1"/>
    </xf>
    <xf numFmtId="0" fontId="15" fillId="0" borderId="13" xfId="62" applyFont="1" applyFill="1" applyBorder="1" applyAlignment="1">
      <alignment horizontal="center" vertical="center" wrapText="1" readingOrder="1"/>
      <protection/>
    </xf>
    <xf numFmtId="0" fontId="7" fillId="0" borderId="15" xfId="62" applyFont="1" applyFill="1" applyBorder="1" applyAlignment="1">
      <alignment horizontal="center" vertical="center" wrapText="1" readingOrder="1"/>
      <protection/>
    </xf>
    <xf numFmtId="3" fontId="10" fillId="0" borderId="15" xfId="42" applyNumberFormat="1" applyFont="1" applyFill="1" applyBorder="1" applyAlignment="1">
      <alignment horizontal="right" vertical="center" readingOrder="1"/>
    </xf>
    <xf numFmtId="3" fontId="16" fillId="0" borderId="15" xfId="0" applyNumberFormat="1" applyFont="1" applyFill="1" applyBorder="1" applyAlignment="1">
      <alignment vertical="center" readingOrder="1"/>
    </xf>
    <xf numFmtId="0" fontId="7" fillId="0" borderId="11" xfId="62" applyFont="1" applyFill="1" applyBorder="1" applyAlignment="1">
      <alignment horizontal="center" vertical="center" wrapText="1" readingOrder="1"/>
      <protection/>
    </xf>
    <xf numFmtId="0" fontId="7" fillId="0" borderId="11" xfId="62" applyFont="1" applyFill="1" applyBorder="1" applyAlignment="1">
      <alignment horizontal="center" vertical="center" readingOrder="1"/>
      <protection/>
    </xf>
    <xf numFmtId="0" fontId="7" fillId="0" borderId="12" xfId="62" applyFont="1" applyFill="1" applyBorder="1" applyAlignment="1">
      <alignment horizontal="center" vertical="center" wrapText="1" readingOrder="1"/>
      <protection/>
    </xf>
    <xf numFmtId="0" fontId="10" fillId="0" borderId="0" xfId="0" applyFont="1" applyFill="1" applyBorder="1" applyAlignment="1">
      <alignment horizontal="left" vertical="center" readingOrder="1"/>
    </xf>
    <xf numFmtId="0" fontId="9" fillId="0" borderId="0" xfId="0" applyFont="1" applyFill="1" applyAlignment="1">
      <alignment vertical="center"/>
    </xf>
    <xf numFmtId="3" fontId="16" fillId="0" borderId="13" xfId="42" applyNumberFormat="1" applyFont="1" applyFill="1" applyBorder="1" applyAlignment="1">
      <alignment horizontal="right" vertical="center"/>
    </xf>
    <xf numFmtId="0" fontId="7" fillId="0" borderId="15" xfId="62" applyFont="1" applyFill="1" applyBorder="1" applyAlignment="1">
      <alignment horizontal="left" vertical="center" wrapText="1" readingOrder="1"/>
      <protection/>
    </xf>
    <xf numFmtId="3" fontId="10" fillId="0" borderId="15" xfId="42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vertical="center"/>
    </xf>
    <xf numFmtId="3" fontId="10" fillId="0" borderId="11" xfId="42" applyNumberFormat="1" applyFont="1" applyFill="1" applyBorder="1" applyAlignment="1">
      <alignment horizontal="right" vertical="center"/>
    </xf>
    <xf numFmtId="3" fontId="10" fillId="0" borderId="12" xfId="42" applyNumberFormat="1" applyFont="1" applyFill="1" applyBorder="1" applyAlignment="1">
      <alignment horizontal="right" vertical="center"/>
    </xf>
    <xf numFmtId="3" fontId="10" fillId="0" borderId="15" xfId="42" applyNumberFormat="1" applyFont="1" applyFill="1" applyBorder="1" applyAlignment="1">
      <alignment vertical="center"/>
    </xf>
    <xf numFmtId="3" fontId="10" fillId="0" borderId="11" xfId="42" applyNumberFormat="1" applyFont="1" applyFill="1" applyBorder="1" applyAlignment="1">
      <alignment vertical="center"/>
    </xf>
    <xf numFmtId="3" fontId="10" fillId="0" borderId="12" xfId="4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 vertical="center" wrapText="1" readingOrder="1"/>
    </xf>
    <xf numFmtId="3" fontId="16" fillId="0" borderId="10" xfId="42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vertical="center"/>
    </xf>
    <xf numFmtId="3" fontId="16" fillId="0" borderId="0" xfId="42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0" fontId="7" fillId="0" borderId="16" xfId="62" applyFont="1" applyFill="1" applyBorder="1" applyAlignment="1">
      <alignment horizontal="center" vertical="center" wrapText="1" readingOrder="1"/>
      <protection/>
    </xf>
    <xf numFmtId="0" fontId="7" fillId="0" borderId="17" xfId="62" applyFont="1" applyFill="1" applyBorder="1" applyAlignment="1">
      <alignment horizontal="center" vertical="center" wrapText="1" readingOrder="1"/>
      <protection/>
    </xf>
    <xf numFmtId="0" fontId="7" fillId="0" borderId="17" xfId="62" applyFont="1" applyFill="1" applyBorder="1" applyAlignment="1">
      <alignment horizontal="center" vertical="center" readingOrder="1"/>
      <protection/>
    </xf>
    <xf numFmtId="0" fontId="7" fillId="0" borderId="18" xfId="62" applyFont="1" applyFill="1" applyBorder="1" applyAlignment="1">
      <alignment horizontal="center" vertical="center" wrapText="1" readingOrder="1"/>
      <protection/>
    </xf>
    <xf numFmtId="0" fontId="0" fillId="0" borderId="0" xfId="0" applyFill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3" fontId="16" fillId="0" borderId="10" xfId="42" applyNumberFormat="1" applyFont="1" applyFill="1" applyBorder="1" applyAlignment="1">
      <alignment horizontal="right" vertical="center" readingOrder="1"/>
    </xf>
    <xf numFmtId="3" fontId="16" fillId="0" borderId="10" xfId="0" applyNumberFormat="1" applyFont="1" applyFill="1" applyBorder="1" applyAlignment="1">
      <alignment vertical="center" readingOrder="1"/>
    </xf>
    <xf numFmtId="0" fontId="7" fillId="0" borderId="15" xfId="0" applyFont="1" applyFill="1" applyBorder="1" applyAlignment="1">
      <alignment horizontal="center" vertical="center" wrapText="1" readingOrder="1"/>
    </xf>
    <xf numFmtId="3" fontId="16" fillId="0" borderId="0" xfId="42" applyNumberFormat="1" applyFont="1" applyFill="1" applyBorder="1" applyAlignment="1">
      <alignment horizontal="right" vertical="center" readingOrder="1"/>
    </xf>
    <xf numFmtId="3" fontId="16" fillId="0" borderId="0" xfId="0" applyNumberFormat="1" applyFont="1" applyFill="1" applyBorder="1" applyAlignment="1">
      <alignment vertical="center" readingOrder="1"/>
    </xf>
    <xf numFmtId="0" fontId="7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vertical="center"/>
    </xf>
    <xf numFmtId="3" fontId="16" fillId="0" borderId="15" xfId="42" applyNumberFormat="1" applyFont="1" applyFill="1" applyBorder="1" applyAlignment="1">
      <alignment vertical="center"/>
    </xf>
    <xf numFmtId="3" fontId="16" fillId="0" borderId="11" xfId="42" applyNumberFormat="1" applyFont="1" applyFill="1" applyBorder="1" applyAlignment="1">
      <alignment vertical="center"/>
    </xf>
    <xf numFmtId="3" fontId="16" fillId="0" borderId="12" xfId="42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 textRotation="90" readingOrder="1"/>
    </xf>
    <xf numFmtId="0" fontId="13" fillId="0" borderId="20" xfId="0" applyFont="1" applyFill="1" applyBorder="1" applyAlignment="1">
      <alignment horizontal="center" vertical="center" textRotation="90" readingOrder="1"/>
    </xf>
    <xf numFmtId="0" fontId="13" fillId="0" borderId="21" xfId="0" applyFont="1" applyFill="1" applyBorder="1" applyAlignment="1">
      <alignment horizontal="center" vertical="center" textRotation="90" readingOrder="1"/>
    </xf>
    <xf numFmtId="0" fontId="13" fillId="0" borderId="19" xfId="0" applyFont="1" applyFill="1" applyBorder="1" applyAlignment="1">
      <alignment horizontal="center" vertical="center" textRotation="90"/>
    </xf>
    <xf numFmtId="0" fontId="13" fillId="0" borderId="20" xfId="0" applyFont="1" applyFill="1" applyBorder="1" applyAlignment="1">
      <alignment horizontal="center" vertical="center" textRotation="90"/>
    </xf>
    <xf numFmtId="0" fontId="13" fillId="0" borderId="21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textRotation="90" wrapText="1" readingOrder="1"/>
    </xf>
    <xf numFmtId="0" fontId="9" fillId="0" borderId="20" xfId="0" applyFont="1" applyFill="1" applyBorder="1" applyAlignment="1">
      <alignment horizontal="center" vertical="center" textRotation="90" wrapText="1" readingOrder="1"/>
    </xf>
    <xf numFmtId="0" fontId="9" fillId="0" borderId="21" xfId="0" applyFont="1" applyFill="1" applyBorder="1" applyAlignment="1">
      <alignment horizontal="center" vertical="center" textRotation="90" wrapText="1" readingOrder="1"/>
    </xf>
    <xf numFmtId="0" fontId="9" fillId="0" borderId="19" xfId="0" applyFont="1" applyFill="1" applyBorder="1" applyAlignment="1">
      <alignment horizontal="center" vertical="center" textRotation="90" readingOrder="1"/>
    </xf>
    <xf numFmtId="0" fontId="9" fillId="0" borderId="20" xfId="0" applyFont="1" applyFill="1" applyBorder="1" applyAlignment="1">
      <alignment horizontal="center" vertical="center" textRotation="90" readingOrder="1"/>
    </xf>
    <xf numFmtId="0" fontId="9" fillId="0" borderId="21" xfId="0" applyFont="1" applyFill="1" applyBorder="1" applyAlignment="1">
      <alignment horizontal="center" vertical="center" textRotation="90" readingOrder="1"/>
    </xf>
    <xf numFmtId="0" fontId="9" fillId="0" borderId="19" xfId="63" applyFont="1" applyFill="1" applyBorder="1" applyAlignment="1">
      <alignment horizontal="center" vertical="center" textRotation="90" readingOrder="1"/>
      <protection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9" fillId="0" borderId="20" xfId="63" applyFont="1" applyFill="1" applyBorder="1" applyAlignment="1">
      <alignment horizontal="center" vertical="center" textRotation="90" readingOrder="1"/>
      <protection/>
    </xf>
    <xf numFmtId="0" fontId="9" fillId="0" borderId="21" xfId="63" applyFont="1" applyFill="1" applyBorder="1" applyAlignment="1">
      <alignment horizontal="center" vertical="center" textRotation="90" readingOrder="1"/>
      <protection/>
    </xf>
    <xf numFmtId="0" fontId="9" fillId="0" borderId="22" xfId="63" applyFont="1" applyFill="1" applyBorder="1" applyAlignment="1">
      <alignment horizontal="center" vertical="center" textRotation="90"/>
      <protection/>
    </xf>
    <xf numFmtId="0" fontId="9" fillId="0" borderId="23" xfId="63" applyFont="1" applyFill="1" applyBorder="1" applyAlignment="1">
      <alignment horizontal="center" vertical="center" textRotation="90"/>
      <protection/>
    </xf>
    <xf numFmtId="0" fontId="9" fillId="0" borderId="24" xfId="63" applyFont="1" applyFill="1" applyBorder="1" applyAlignment="1">
      <alignment horizontal="center" vertical="center" textRotation="90"/>
      <protection/>
    </xf>
    <xf numFmtId="0" fontId="9" fillId="0" borderId="25" xfId="63" applyFont="1" applyFill="1" applyBorder="1" applyAlignment="1">
      <alignment horizontal="center" vertical="center" textRotation="90" wrapText="1"/>
      <protection/>
    </xf>
    <xf numFmtId="0" fontId="9" fillId="0" borderId="25" xfId="63" applyFont="1" applyFill="1" applyBorder="1" applyAlignment="1">
      <alignment horizontal="center" vertical="center" textRotation="90" wrapText="1" readingOrder="1"/>
      <protection/>
    </xf>
    <xf numFmtId="0" fontId="9" fillId="0" borderId="19" xfId="63" applyFont="1" applyFill="1" applyBorder="1" applyAlignment="1">
      <alignment horizontal="center" vertical="center" textRotation="90" wrapText="1" readingOrder="1"/>
      <protection/>
    </xf>
    <xf numFmtId="0" fontId="9" fillId="0" borderId="20" xfId="63" applyFont="1" applyFill="1" applyBorder="1" applyAlignment="1">
      <alignment horizontal="center" vertical="center" textRotation="90" wrapText="1" readingOrder="1"/>
      <protection/>
    </xf>
    <xf numFmtId="0" fontId="9" fillId="0" borderId="21" xfId="63" applyFont="1" applyFill="1" applyBorder="1" applyAlignment="1">
      <alignment horizontal="center" vertical="center" textRotation="90" wrapText="1" readingOrder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48_49" xfId="62"/>
    <cellStyle name="Normal_page_50_5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4" customWidth="1"/>
    <col min="2" max="2" width="5.140625" style="4" customWidth="1"/>
    <col min="3" max="3" width="14.421875" style="14" customWidth="1"/>
    <col min="4" max="4" width="6.8515625" style="2" bestFit="1" customWidth="1"/>
    <col min="5" max="15" width="7.8515625" style="2" customWidth="1"/>
    <col min="16" max="16" width="8.7109375" style="2" bestFit="1" customWidth="1"/>
    <col min="17" max="16384" width="9.140625" style="2" customWidth="1"/>
  </cols>
  <sheetData>
    <row r="1" spans="1:3" ht="18.75">
      <c r="A1" s="3" t="s">
        <v>51</v>
      </c>
      <c r="B1" s="2"/>
      <c r="C1" s="13"/>
    </row>
    <row r="2" ht="12.75">
      <c r="A2" s="9" t="s">
        <v>1</v>
      </c>
    </row>
    <row r="3" spans="1:3" s="5" customFormat="1" ht="12.75" customHeight="1">
      <c r="A3" s="2" t="s">
        <v>0</v>
      </c>
      <c r="B3" s="12"/>
      <c r="C3" s="16"/>
    </row>
    <row r="4" spans="1:3" s="5" customFormat="1" ht="9.75" customHeight="1" thickBot="1">
      <c r="A4" s="7"/>
      <c r="B4" s="12"/>
      <c r="C4" s="16"/>
    </row>
    <row r="5" spans="4:16" ht="15" customHeight="1" thickBot="1">
      <c r="D5" s="84">
        <v>2010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4:16" ht="84" thickBot="1">
      <c r="D6" s="18" t="s">
        <v>26</v>
      </c>
      <c r="E6" s="18" t="s">
        <v>27</v>
      </c>
      <c r="F6" s="18" t="s">
        <v>28</v>
      </c>
      <c r="G6" s="18" t="s">
        <v>34</v>
      </c>
      <c r="H6" s="18" t="s">
        <v>35</v>
      </c>
      <c r="I6" s="18" t="s">
        <v>36</v>
      </c>
      <c r="J6" s="18" t="s">
        <v>37</v>
      </c>
      <c r="K6" s="18" t="s">
        <v>38</v>
      </c>
      <c r="L6" s="18" t="s">
        <v>39</v>
      </c>
      <c r="M6" s="18" t="s">
        <v>40</v>
      </c>
      <c r="N6" s="18" t="s">
        <v>41</v>
      </c>
      <c r="O6" s="18" t="s">
        <v>42</v>
      </c>
      <c r="P6" s="18" t="s">
        <v>56</v>
      </c>
    </row>
    <row r="7" spans="1:16" ht="21.75" thickBot="1">
      <c r="A7" s="78" t="s">
        <v>2</v>
      </c>
      <c r="B7" s="85" t="s">
        <v>3</v>
      </c>
      <c r="C7" s="22" t="s">
        <v>4</v>
      </c>
      <c r="D7" s="28">
        <f>SUM(D8:D16)</f>
        <v>6873</v>
      </c>
      <c r="E7" s="28">
        <f aca="true" t="shared" si="0" ref="E7:O7">SUM(E8:E16)</f>
        <v>7554</v>
      </c>
      <c r="F7" s="28">
        <f t="shared" si="0"/>
        <v>9837</v>
      </c>
      <c r="G7" s="28">
        <f t="shared" si="0"/>
        <v>8692</v>
      </c>
      <c r="H7" s="28">
        <f t="shared" si="0"/>
        <v>8497</v>
      </c>
      <c r="I7" s="28">
        <f t="shared" si="0"/>
        <v>9236</v>
      </c>
      <c r="J7" s="28">
        <f t="shared" si="0"/>
        <v>9083</v>
      </c>
      <c r="K7" s="28">
        <f t="shared" si="0"/>
        <v>9079</v>
      </c>
      <c r="L7" s="28">
        <f t="shared" si="0"/>
        <v>7987</v>
      </c>
      <c r="M7" s="28">
        <f t="shared" si="0"/>
        <v>8722</v>
      </c>
      <c r="N7" s="28">
        <f t="shared" si="0"/>
        <v>7480</v>
      </c>
      <c r="O7" s="28">
        <f t="shared" si="0"/>
        <v>11158</v>
      </c>
      <c r="P7" s="27">
        <f>SUM(D7:O7)</f>
        <v>104198</v>
      </c>
    </row>
    <row r="8" spans="1:16" s="8" customFormat="1" ht="22.5">
      <c r="A8" s="79"/>
      <c r="B8" s="86"/>
      <c r="C8" s="29" t="s">
        <v>43</v>
      </c>
      <c r="D8" s="30">
        <f>107+381+1+1+15</f>
        <v>505</v>
      </c>
      <c r="E8" s="30">
        <f>75+442+2+18</f>
        <v>537</v>
      </c>
      <c r="F8" s="30">
        <f>101+635+4+26</f>
        <v>766</v>
      </c>
      <c r="G8" s="30">
        <f>89+579+4+25+1</f>
        <v>698</v>
      </c>
      <c r="H8" s="30">
        <f>75+679+3+37+2</f>
        <v>796</v>
      </c>
      <c r="I8" s="30">
        <f>90+629+2+6+32</f>
        <v>759</v>
      </c>
      <c r="J8" s="30">
        <f>121+585+3+4+30</f>
        <v>743</v>
      </c>
      <c r="K8" s="30">
        <f>90+516+5+26</f>
        <v>637</v>
      </c>
      <c r="L8" s="30">
        <f>82+450+22</f>
        <v>554</v>
      </c>
      <c r="M8" s="30">
        <f>80+546+8+18</f>
        <v>652</v>
      </c>
      <c r="N8" s="30">
        <f>76+460+2+19</f>
        <v>557</v>
      </c>
      <c r="O8" s="30">
        <f>98+1045+1+3+61+1</f>
        <v>1209</v>
      </c>
      <c r="P8" s="26">
        <f aca="true" t="shared" si="1" ref="P8:P46">SUM(D8:O8)</f>
        <v>8413</v>
      </c>
    </row>
    <row r="9" spans="1:16" s="6" customFormat="1" ht="33.75">
      <c r="A9" s="79"/>
      <c r="B9" s="86"/>
      <c r="C9" s="31" t="s">
        <v>5</v>
      </c>
      <c r="D9" s="32">
        <f>144+1+1510+2+1+4+3</f>
        <v>1665</v>
      </c>
      <c r="E9" s="32">
        <f>140+1717+2+1+12+48+1</f>
        <v>1921</v>
      </c>
      <c r="F9" s="32">
        <f>195+0+2213+2+4+1+63</f>
        <v>2478</v>
      </c>
      <c r="G9" s="32">
        <f>164+2026+4+44+1</f>
        <v>2239</v>
      </c>
      <c r="H9" s="32">
        <f>147+2005+11+45+1</f>
        <v>2209</v>
      </c>
      <c r="I9" s="32">
        <f>199+2130+8+6+6+66+0</f>
        <v>2415</v>
      </c>
      <c r="J9" s="32">
        <f>186+2012+6+7+74+3</f>
        <v>2288</v>
      </c>
      <c r="K9" s="32">
        <f>155+1+1946+1+4+73+68+1</f>
        <v>2249</v>
      </c>
      <c r="L9" s="32">
        <f>156+1+1625+52+66</f>
        <v>1900</v>
      </c>
      <c r="M9" s="32">
        <f>168+1+1863+55+2</f>
        <v>2089</v>
      </c>
      <c r="N9" s="32">
        <f>182+1629+2+4+40</f>
        <v>1857</v>
      </c>
      <c r="O9" s="32">
        <f>187+1+2482+3+10+92+2</f>
        <v>2777</v>
      </c>
      <c r="P9" s="24">
        <f t="shared" si="1"/>
        <v>26087</v>
      </c>
    </row>
    <row r="10" spans="1:16" s="6" customFormat="1" ht="22.5">
      <c r="A10" s="79"/>
      <c r="B10" s="86"/>
      <c r="C10" s="31" t="s">
        <v>6</v>
      </c>
      <c r="D10" s="32">
        <f>50+1+798+1+8+19</f>
        <v>877</v>
      </c>
      <c r="E10" s="32">
        <f>69+909+4+5+15</f>
        <v>1002</v>
      </c>
      <c r="F10" s="32">
        <f>71+1080+2+11+31</f>
        <v>1195</v>
      </c>
      <c r="G10" s="32">
        <f>57+916+4+25</f>
        <v>1002</v>
      </c>
      <c r="H10" s="32">
        <f>81+964+13+29</f>
        <v>1087</v>
      </c>
      <c r="I10" s="32">
        <f>81+962+10+18+0</f>
        <v>1071</v>
      </c>
      <c r="J10" s="32">
        <f>82+987+1+9+18</f>
        <v>1097</v>
      </c>
      <c r="K10" s="32">
        <f>52+1029+2+6+22</f>
        <v>1111</v>
      </c>
      <c r="L10" s="32">
        <f>70+834+9+26</f>
        <v>939</v>
      </c>
      <c r="M10" s="32">
        <f>117+1+910+7+18</f>
        <v>1053</v>
      </c>
      <c r="N10" s="32">
        <f>53+781+1+16</f>
        <v>851</v>
      </c>
      <c r="O10" s="32">
        <f>88+1120+2+11+27</f>
        <v>1248</v>
      </c>
      <c r="P10" s="24">
        <f t="shared" si="1"/>
        <v>12533</v>
      </c>
    </row>
    <row r="11" spans="1:16" s="6" customFormat="1" ht="12.75">
      <c r="A11" s="79"/>
      <c r="B11" s="86"/>
      <c r="C11" s="33" t="s">
        <v>7</v>
      </c>
      <c r="D11" s="32">
        <f>94+834+1+1+7+22</f>
        <v>959</v>
      </c>
      <c r="E11" s="32">
        <f>57+890+1+1+19</f>
        <v>968</v>
      </c>
      <c r="F11" s="32">
        <f>111+1229+1+34</f>
        <v>1375</v>
      </c>
      <c r="G11" s="32">
        <f>91+19+1040+24</f>
        <v>1174</v>
      </c>
      <c r="H11" s="32">
        <f>66+954+30</f>
        <v>1050</v>
      </c>
      <c r="I11" s="32">
        <f>96+1010+1+1+33+1</f>
        <v>1142</v>
      </c>
      <c r="J11" s="32">
        <f>86+964+36+5</f>
        <v>1091</v>
      </c>
      <c r="K11" s="32">
        <f>92+963+27</f>
        <v>1082</v>
      </c>
      <c r="L11" s="32">
        <f>93+974+23</f>
        <v>1090</v>
      </c>
      <c r="M11" s="32">
        <f>88+844+4+32</f>
        <v>968</v>
      </c>
      <c r="N11" s="32">
        <f>81+765+5+28</f>
        <v>879</v>
      </c>
      <c r="O11" s="32">
        <f>98+1275+4+45</f>
        <v>1422</v>
      </c>
      <c r="P11" s="24">
        <f t="shared" si="1"/>
        <v>13200</v>
      </c>
    </row>
    <row r="12" spans="1:16" s="6" customFormat="1" ht="33.75">
      <c r="A12" s="79"/>
      <c r="B12" s="86"/>
      <c r="C12" s="31" t="s">
        <v>45</v>
      </c>
      <c r="D12" s="32">
        <f>67+581+2</f>
        <v>650</v>
      </c>
      <c r="E12" s="32">
        <f>97+648+1+4</f>
        <v>750</v>
      </c>
      <c r="F12" s="32">
        <f>105+1+762+1+8</f>
        <v>877</v>
      </c>
      <c r="G12" s="32">
        <f>105+4+635+7</f>
        <v>751</v>
      </c>
      <c r="H12" s="32">
        <f>98+24+679+6</f>
        <v>807</v>
      </c>
      <c r="I12" s="32">
        <f>123+721+1+2+1+9</f>
        <v>857</v>
      </c>
      <c r="J12" s="32">
        <f>102+750+5+12+1</f>
        <v>870</v>
      </c>
      <c r="K12" s="32">
        <f>94+3+710+7+9</f>
        <v>823</v>
      </c>
      <c r="L12" s="32">
        <f>73+563+4+9+1</f>
        <v>650</v>
      </c>
      <c r="M12" s="32">
        <f>97+803+10</f>
        <v>910</v>
      </c>
      <c r="N12" s="32">
        <f>79+2+659+3+10</f>
        <v>753</v>
      </c>
      <c r="O12" s="32">
        <f>123+883+1+5+2</f>
        <v>1014</v>
      </c>
      <c r="P12" s="24">
        <f t="shared" si="1"/>
        <v>9712</v>
      </c>
    </row>
    <row r="13" spans="1:16" s="6" customFormat="1" ht="33.75">
      <c r="A13" s="79"/>
      <c r="B13" s="86"/>
      <c r="C13" s="31" t="s">
        <v>46</v>
      </c>
      <c r="D13" s="32">
        <f>74+1+559+2+5</f>
        <v>641</v>
      </c>
      <c r="E13" s="32">
        <f>52+592+1+9+1</f>
        <v>655</v>
      </c>
      <c r="F13" s="32">
        <f>82+767+1+1+15</f>
        <v>866</v>
      </c>
      <c r="G13" s="32">
        <f>61+668+14+2</f>
        <v>745</v>
      </c>
      <c r="H13" s="32">
        <f>72+627+1+7+1</f>
        <v>708</v>
      </c>
      <c r="I13" s="32">
        <f>90+648+13</f>
        <v>751</v>
      </c>
      <c r="J13" s="32">
        <f>94+640+9</f>
        <v>743</v>
      </c>
      <c r="K13" s="32">
        <f>88+729+8</f>
        <v>825</v>
      </c>
      <c r="L13" s="32">
        <f>78+688+9</f>
        <v>775</v>
      </c>
      <c r="M13" s="32">
        <f>91+752+8+1</f>
        <v>852</v>
      </c>
      <c r="N13" s="32">
        <f>85+627+4</f>
        <v>716</v>
      </c>
      <c r="O13" s="32">
        <f>87+704+10</f>
        <v>801</v>
      </c>
      <c r="P13" s="24">
        <f t="shared" si="1"/>
        <v>9078</v>
      </c>
    </row>
    <row r="14" spans="1:16" s="6" customFormat="1" ht="12.75">
      <c r="A14" s="79"/>
      <c r="B14" s="86"/>
      <c r="C14" s="31" t="s">
        <v>44</v>
      </c>
      <c r="D14" s="32">
        <f>65+49+469+1</f>
        <v>584</v>
      </c>
      <c r="E14" s="32">
        <f>58+46+507+4+5</f>
        <v>620</v>
      </c>
      <c r="F14" s="32">
        <f>89+3+785+1+8+10</f>
        <v>896</v>
      </c>
      <c r="G14" s="32">
        <f>87+682+4+13</f>
        <v>786</v>
      </c>
      <c r="H14" s="32">
        <f>64+567+10+0</f>
        <v>641</v>
      </c>
      <c r="I14" s="32">
        <f>111+3+743+1+6+2</f>
        <v>866</v>
      </c>
      <c r="J14" s="32">
        <f>118+2+22+759+1+3+1</f>
        <v>906</v>
      </c>
      <c r="K14" s="32">
        <f>117+4+718+2+1+10</f>
        <v>852</v>
      </c>
      <c r="L14" s="32">
        <f>87+650+12</f>
        <v>749</v>
      </c>
      <c r="M14" s="32">
        <f>96+696+5</f>
        <v>797</v>
      </c>
      <c r="N14" s="32">
        <f>91+3+608+4</f>
        <v>706</v>
      </c>
      <c r="O14" s="32">
        <f>142+812+9</f>
        <v>963</v>
      </c>
      <c r="P14" s="24">
        <f t="shared" si="1"/>
        <v>9366</v>
      </c>
    </row>
    <row r="15" spans="1:16" s="6" customFormat="1" ht="22.5">
      <c r="A15" s="79"/>
      <c r="B15" s="86"/>
      <c r="C15" s="31" t="s">
        <v>8</v>
      </c>
      <c r="D15" s="32">
        <f>38+25+537+5</f>
        <v>605</v>
      </c>
      <c r="E15" s="32">
        <f>35+24+606+2+10</f>
        <v>677</v>
      </c>
      <c r="F15" s="32">
        <f>82+787+6</f>
        <v>875</v>
      </c>
      <c r="G15" s="32">
        <f>41+30+639+7</f>
        <v>717</v>
      </c>
      <c r="H15" s="32">
        <f>62+659+11</f>
        <v>732</v>
      </c>
      <c r="I15" s="32">
        <f>70+755+1+4+6</f>
        <v>836</v>
      </c>
      <c r="J15" s="32">
        <f>57+745+2+9</f>
        <v>813</v>
      </c>
      <c r="K15" s="32">
        <f>86+757+15</f>
        <v>858</v>
      </c>
      <c r="L15" s="32">
        <f>95+719+1+3+16</f>
        <v>834</v>
      </c>
      <c r="M15" s="32">
        <f>71+707+2+2+9</f>
        <v>791</v>
      </c>
      <c r="N15" s="32">
        <f>58+584+5+6+2</f>
        <v>655</v>
      </c>
      <c r="O15" s="32">
        <f>96+965+3+19+4</f>
        <v>1087</v>
      </c>
      <c r="P15" s="24">
        <f t="shared" si="1"/>
        <v>9480</v>
      </c>
    </row>
    <row r="16" spans="1:16" s="6" customFormat="1" ht="23.25" thickBot="1">
      <c r="A16" s="79"/>
      <c r="B16" s="86"/>
      <c r="C16" s="34" t="s">
        <v>9</v>
      </c>
      <c r="D16" s="35">
        <f>30+354+1+1+1</f>
        <v>387</v>
      </c>
      <c r="E16" s="35">
        <f>52+371+1</f>
        <v>424</v>
      </c>
      <c r="F16" s="35">
        <f>44+462+3</f>
        <v>509</v>
      </c>
      <c r="G16" s="35">
        <f>48+531+1</f>
        <v>580</v>
      </c>
      <c r="H16" s="35">
        <f>45+418+3+1</f>
        <v>467</v>
      </c>
      <c r="I16" s="35">
        <f>55+482+1+1</f>
        <v>539</v>
      </c>
      <c r="J16" s="35">
        <f>49+483</f>
        <v>532</v>
      </c>
      <c r="K16" s="35">
        <f>60+581+1</f>
        <v>642</v>
      </c>
      <c r="L16" s="35">
        <f>38+458</f>
        <v>496</v>
      </c>
      <c r="M16" s="35">
        <f>76+533+1</f>
        <v>610</v>
      </c>
      <c r="N16" s="35">
        <f>52+453+1</f>
        <v>506</v>
      </c>
      <c r="O16" s="35">
        <f>70+567</f>
        <v>637</v>
      </c>
      <c r="P16" s="25">
        <f t="shared" si="1"/>
        <v>6329</v>
      </c>
    </row>
    <row r="17" spans="1:16" s="6" customFormat="1" ht="53.25" thickBot="1">
      <c r="A17" s="79"/>
      <c r="B17" s="86"/>
      <c r="C17" s="36" t="s">
        <v>10</v>
      </c>
      <c r="D17" s="28">
        <f>SUM(D18:D26)</f>
        <v>818871</v>
      </c>
      <c r="E17" s="28">
        <f aca="true" t="shared" si="2" ref="E17:O17">SUM(E18:E26)</f>
        <v>989527</v>
      </c>
      <c r="F17" s="28">
        <f t="shared" si="2"/>
        <v>1351189</v>
      </c>
      <c r="G17" s="28">
        <f t="shared" si="2"/>
        <v>1197118</v>
      </c>
      <c r="H17" s="28">
        <f t="shared" si="2"/>
        <v>1358427</v>
      </c>
      <c r="I17" s="28">
        <f t="shared" si="2"/>
        <v>1339631</v>
      </c>
      <c r="J17" s="28">
        <f t="shared" si="2"/>
        <v>1373361</v>
      </c>
      <c r="K17" s="28">
        <f t="shared" si="2"/>
        <v>1123442</v>
      </c>
      <c r="L17" s="28">
        <f t="shared" si="2"/>
        <v>850109</v>
      </c>
      <c r="M17" s="28">
        <f t="shared" si="2"/>
        <v>1060894</v>
      </c>
      <c r="N17" s="28">
        <f t="shared" si="2"/>
        <v>938589</v>
      </c>
      <c r="O17" s="28">
        <f t="shared" si="2"/>
        <v>1773428</v>
      </c>
      <c r="P17" s="27">
        <f t="shared" si="1"/>
        <v>14174586</v>
      </c>
    </row>
    <row r="18" spans="1:16" s="6" customFormat="1" ht="22.5">
      <c r="A18" s="79"/>
      <c r="B18" s="86"/>
      <c r="C18" s="37" t="s">
        <v>43</v>
      </c>
      <c r="D18" s="38">
        <v>176646</v>
      </c>
      <c r="E18" s="38">
        <v>193410</v>
      </c>
      <c r="F18" s="38">
        <v>372952</v>
      </c>
      <c r="G18" s="38">
        <v>297125</v>
      </c>
      <c r="H18" s="38">
        <v>508321</v>
      </c>
      <c r="I18" s="38">
        <v>398776</v>
      </c>
      <c r="J18" s="38">
        <v>362467</v>
      </c>
      <c r="K18" s="38">
        <v>253843</v>
      </c>
      <c r="L18" s="38">
        <v>168521</v>
      </c>
      <c r="M18" s="38">
        <v>232902</v>
      </c>
      <c r="N18" s="38">
        <v>229456</v>
      </c>
      <c r="O18" s="38">
        <v>677259</v>
      </c>
      <c r="P18" s="39">
        <f t="shared" si="1"/>
        <v>3871678</v>
      </c>
    </row>
    <row r="19" spans="1:16" s="6" customFormat="1" ht="33.75">
      <c r="A19" s="79"/>
      <c r="B19" s="86"/>
      <c r="C19" s="40" t="s">
        <v>5</v>
      </c>
      <c r="D19" s="32">
        <v>213120</v>
      </c>
      <c r="E19" s="32">
        <v>280614</v>
      </c>
      <c r="F19" s="32">
        <v>330545</v>
      </c>
      <c r="G19" s="32">
        <v>315693</v>
      </c>
      <c r="H19" s="32">
        <v>294419</v>
      </c>
      <c r="I19" s="32">
        <v>367684</v>
      </c>
      <c r="J19" s="32">
        <v>386896</v>
      </c>
      <c r="K19" s="32">
        <v>283384</v>
      </c>
      <c r="L19" s="32">
        <v>203444</v>
      </c>
      <c r="M19" s="32">
        <v>273064</v>
      </c>
      <c r="N19" s="32">
        <v>242332</v>
      </c>
      <c r="O19" s="32">
        <v>418452</v>
      </c>
      <c r="P19" s="24">
        <f t="shared" si="1"/>
        <v>3609647</v>
      </c>
    </row>
    <row r="20" spans="1:16" s="6" customFormat="1" ht="22.5">
      <c r="A20" s="79"/>
      <c r="B20" s="86"/>
      <c r="C20" s="40" t="s">
        <v>6</v>
      </c>
      <c r="D20" s="32">
        <v>114605</v>
      </c>
      <c r="E20" s="32">
        <v>115692</v>
      </c>
      <c r="F20" s="32">
        <v>152337</v>
      </c>
      <c r="G20" s="32">
        <v>143778</v>
      </c>
      <c r="H20" s="32">
        <v>132029</v>
      </c>
      <c r="I20" s="32">
        <v>125220</v>
      </c>
      <c r="J20" s="32">
        <v>142403</v>
      </c>
      <c r="K20" s="32">
        <v>159480</v>
      </c>
      <c r="L20" s="32">
        <v>109205</v>
      </c>
      <c r="M20" s="32">
        <v>136828</v>
      </c>
      <c r="N20" s="32">
        <v>112091</v>
      </c>
      <c r="O20" s="32">
        <v>162279</v>
      </c>
      <c r="P20" s="24">
        <f t="shared" si="1"/>
        <v>1605947</v>
      </c>
    </row>
    <row r="21" spans="1:16" ht="12.75">
      <c r="A21" s="79"/>
      <c r="B21" s="86"/>
      <c r="C21" s="41" t="s">
        <v>7</v>
      </c>
      <c r="D21" s="32">
        <v>159474</v>
      </c>
      <c r="E21" s="32">
        <v>204078</v>
      </c>
      <c r="F21" s="32">
        <v>282770</v>
      </c>
      <c r="G21" s="32">
        <v>256645</v>
      </c>
      <c r="H21" s="32">
        <v>229744</v>
      </c>
      <c r="I21" s="32">
        <v>226388</v>
      </c>
      <c r="J21" s="32">
        <v>277496</v>
      </c>
      <c r="K21" s="32">
        <v>223078</v>
      </c>
      <c r="L21" s="32">
        <v>207696</v>
      </c>
      <c r="M21" s="32">
        <v>186638</v>
      </c>
      <c r="N21" s="32">
        <v>180089</v>
      </c>
      <c r="O21" s="32">
        <v>274611</v>
      </c>
      <c r="P21" s="24">
        <f t="shared" si="1"/>
        <v>2708707</v>
      </c>
    </row>
    <row r="22" spans="1:16" ht="33.75">
      <c r="A22" s="79"/>
      <c r="B22" s="86"/>
      <c r="C22" s="40" t="s">
        <v>45</v>
      </c>
      <c r="D22" s="32">
        <v>37306</v>
      </c>
      <c r="E22" s="32">
        <v>39800</v>
      </c>
      <c r="F22" s="32">
        <v>59692</v>
      </c>
      <c r="G22" s="32">
        <v>44059</v>
      </c>
      <c r="H22" s="32">
        <v>51894</v>
      </c>
      <c r="I22" s="32">
        <v>48364</v>
      </c>
      <c r="J22" s="32">
        <v>52605</v>
      </c>
      <c r="K22" s="32">
        <v>41890</v>
      </c>
      <c r="L22" s="32">
        <v>35505</v>
      </c>
      <c r="M22" s="32">
        <v>98275</v>
      </c>
      <c r="N22" s="32">
        <v>45049</v>
      </c>
      <c r="O22" s="32">
        <v>53643</v>
      </c>
      <c r="P22" s="24">
        <f t="shared" si="1"/>
        <v>608082</v>
      </c>
    </row>
    <row r="23" spans="1:16" ht="33.75">
      <c r="A23" s="79"/>
      <c r="B23" s="86"/>
      <c r="C23" s="40" t="s">
        <v>46</v>
      </c>
      <c r="D23" s="32">
        <v>25110</v>
      </c>
      <c r="E23" s="32">
        <v>31383</v>
      </c>
      <c r="F23" s="32">
        <v>38282</v>
      </c>
      <c r="G23" s="32">
        <v>35667</v>
      </c>
      <c r="H23" s="32">
        <v>41134</v>
      </c>
      <c r="I23" s="32">
        <v>47333</v>
      </c>
      <c r="J23" s="32">
        <v>29852</v>
      </c>
      <c r="K23" s="32">
        <v>32652</v>
      </c>
      <c r="L23" s="32">
        <v>30489</v>
      </c>
      <c r="M23" s="32">
        <v>32119</v>
      </c>
      <c r="N23" s="32">
        <v>32033</v>
      </c>
      <c r="O23" s="32">
        <v>35336</v>
      </c>
      <c r="P23" s="24">
        <f t="shared" si="1"/>
        <v>411390</v>
      </c>
    </row>
    <row r="24" spans="1:16" ht="12.75">
      <c r="A24" s="79"/>
      <c r="B24" s="86"/>
      <c r="C24" s="40" t="s">
        <v>44</v>
      </c>
      <c r="D24" s="32">
        <v>28960</v>
      </c>
      <c r="E24" s="32">
        <v>32901</v>
      </c>
      <c r="F24" s="32">
        <v>37639</v>
      </c>
      <c r="G24" s="32">
        <v>36975</v>
      </c>
      <c r="H24" s="32">
        <v>33216</v>
      </c>
      <c r="I24" s="32">
        <v>45840</v>
      </c>
      <c r="J24" s="32">
        <v>36541</v>
      </c>
      <c r="K24" s="32">
        <v>39942</v>
      </c>
      <c r="L24" s="32">
        <v>31176</v>
      </c>
      <c r="M24" s="32">
        <v>33651</v>
      </c>
      <c r="N24" s="32">
        <v>33080</v>
      </c>
      <c r="O24" s="32">
        <v>62702</v>
      </c>
      <c r="P24" s="24">
        <f t="shared" si="1"/>
        <v>452623</v>
      </c>
    </row>
    <row r="25" spans="1:16" ht="22.5">
      <c r="A25" s="79"/>
      <c r="B25" s="86"/>
      <c r="C25" s="40" t="s">
        <v>8</v>
      </c>
      <c r="D25" s="32">
        <v>49947</v>
      </c>
      <c r="E25" s="32">
        <v>70421</v>
      </c>
      <c r="F25" s="32">
        <v>58439</v>
      </c>
      <c r="G25" s="32">
        <v>44749</v>
      </c>
      <c r="H25" s="32">
        <v>49479</v>
      </c>
      <c r="I25" s="32">
        <v>58822</v>
      </c>
      <c r="J25" s="32">
        <v>66408</v>
      </c>
      <c r="K25" s="32">
        <v>57763</v>
      </c>
      <c r="L25" s="32">
        <v>46354</v>
      </c>
      <c r="M25" s="32">
        <v>44034</v>
      </c>
      <c r="N25" s="32">
        <v>45102</v>
      </c>
      <c r="O25" s="32">
        <v>66230</v>
      </c>
      <c r="P25" s="24">
        <f t="shared" si="1"/>
        <v>657748</v>
      </c>
    </row>
    <row r="26" spans="1:16" ht="23.25" thickBot="1">
      <c r="A26" s="79"/>
      <c r="B26" s="87"/>
      <c r="C26" s="42" t="s">
        <v>9</v>
      </c>
      <c r="D26" s="35">
        <v>13703</v>
      </c>
      <c r="E26" s="35">
        <v>21228</v>
      </c>
      <c r="F26" s="35">
        <v>18533</v>
      </c>
      <c r="G26" s="35">
        <v>22427</v>
      </c>
      <c r="H26" s="35">
        <v>18191</v>
      </c>
      <c r="I26" s="35">
        <v>21204</v>
      </c>
      <c r="J26" s="35">
        <v>18693</v>
      </c>
      <c r="K26" s="35">
        <v>31410</v>
      </c>
      <c r="L26" s="35">
        <v>17719</v>
      </c>
      <c r="M26" s="35">
        <v>23383</v>
      </c>
      <c r="N26" s="35">
        <v>19357</v>
      </c>
      <c r="O26" s="35">
        <v>22916</v>
      </c>
      <c r="P26" s="25">
        <f t="shared" si="1"/>
        <v>248764</v>
      </c>
    </row>
    <row r="27" spans="1:16" ht="21.75" thickBot="1">
      <c r="A27" s="79"/>
      <c r="B27" s="88" t="s">
        <v>52</v>
      </c>
      <c r="C27" s="22" t="s">
        <v>4</v>
      </c>
      <c r="D27" s="28">
        <f>SUM(D28:D36)</f>
        <v>1166</v>
      </c>
      <c r="E27" s="28">
        <f aca="true" t="shared" si="3" ref="E27:P27">SUM(E28:E36)</f>
        <v>1219</v>
      </c>
      <c r="F27" s="28">
        <f t="shared" si="3"/>
        <v>1616</v>
      </c>
      <c r="G27" s="28">
        <f t="shared" si="3"/>
        <v>1554</v>
      </c>
      <c r="H27" s="28">
        <f t="shared" si="3"/>
        <v>1600</v>
      </c>
      <c r="I27" s="28">
        <f t="shared" si="3"/>
        <v>1659</v>
      </c>
      <c r="J27" s="28">
        <f t="shared" si="3"/>
        <v>1548</v>
      </c>
      <c r="K27" s="28">
        <f t="shared" si="3"/>
        <v>1524</v>
      </c>
      <c r="L27" s="28">
        <f t="shared" si="3"/>
        <v>1196</v>
      </c>
      <c r="M27" s="28">
        <f t="shared" si="3"/>
        <v>1445</v>
      </c>
      <c r="N27" s="28">
        <f t="shared" si="3"/>
        <v>1245</v>
      </c>
      <c r="O27" s="28">
        <f t="shared" si="3"/>
        <v>1441</v>
      </c>
      <c r="P27" s="28">
        <f t="shared" si="3"/>
        <v>17213</v>
      </c>
    </row>
    <row r="28" spans="1:16" ht="22.5">
      <c r="A28" s="79"/>
      <c r="B28" s="89"/>
      <c r="C28" s="37" t="s">
        <v>43</v>
      </c>
      <c r="D28" s="38">
        <v>51</v>
      </c>
      <c r="E28" s="38">
        <v>87</v>
      </c>
      <c r="F28" s="38">
        <v>101</v>
      </c>
      <c r="G28" s="38">
        <v>118</v>
      </c>
      <c r="H28" s="38">
        <v>122</v>
      </c>
      <c r="I28" s="38">
        <v>108</v>
      </c>
      <c r="J28" s="38">
        <v>104</v>
      </c>
      <c r="K28" s="38">
        <v>106</v>
      </c>
      <c r="L28" s="38">
        <v>66</v>
      </c>
      <c r="M28" s="38">
        <v>76</v>
      </c>
      <c r="N28" s="38">
        <v>82</v>
      </c>
      <c r="O28" s="38">
        <v>129</v>
      </c>
      <c r="P28" s="39">
        <f t="shared" si="1"/>
        <v>1150</v>
      </c>
    </row>
    <row r="29" spans="1:16" ht="33.75">
      <c r="A29" s="79"/>
      <c r="B29" s="89"/>
      <c r="C29" s="40" t="s">
        <v>5</v>
      </c>
      <c r="D29" s="32">
        <v>354</v>
      </c>
      <c r="E29" s="32">
        <v>385</v>
      </c>
      <c r="F29" s="32">
        <v>455</v>
      </c>
      <c r="G29" s="32">
        <v>496</v>
      </c>
      <c r="H29" s="32">
        <v>529</v>
      </c>
      <c r="I29" s="32">
        <v>572</v>
      </c>
      <c r="J29" s="32">
        <v>498</v>
      </c>
      <c r="K29" s="32">
        <v>445</v>
      </c>
      <c r="L29" s="32">
        <v>321</v>
      </c>
      <c r="M29" s="32">
        <v>435</v>
      </c>
      <c r="N29" s="32">
        <v>369</v>
      </c>
      <c r="O29" s="32">
        <v>416</v>
      </c>
      <c r="P29" s="24">
        <f t="shared" si="1"/>
        <v>5275</v>
      </c>
    </row>
    <row r="30" spans="1:16" ht="22.5">
      <c r="A30" s="79"/>
      <c r="B30" s="89"/>
      <c r="C30" s="40" t="s">
        <v>6</v>
      </c>
      <c r="D30" s="32">
        <v>163</v>
      </c>
      <c r="E30" s="32">
        <v>171</v>
      </c>
      <c r="F30" s="32">
        <v>256</v>
      </c>
      <c r="G30" s="32">
        <v>205</v>
      </c>
      <c r="H30" s="32">
        <v>216</v>
      </c>
      <c r="I30" s="32">
        <v>237</v>
      </c>
      <c r="J30" s="32">
        <v>225</v>
      </c>
      <c r="K30" s="32">
        <v>237</v>
      </c>
      <c r="L30" s="32">
        <v>196</v>
      </c>
      <c r="M30" s="32">
        <v>223</v>
      </c>
      <c r="N30" s="32">
        <v>168</v>
      </c>
      <c r="O30" s="32">
        <v>184</v>
      </c>
      <c r="P30" s="24">
        <f t="shared" si="1"/>
        <v>2481</v>
      </c>
    </row>
    <row r="31" spans="1:16" ht="12.75">
      <c r="A31" s="79"/>
      <c r="B31" s="89"/>
      <c r="C31" s="41" t="s">
        <v>7</v>
      </c>
      <c r="D31" s="32">
        <v>264</v>
      </c>
      <c r="E31" s="32">
        <v>260</v>
      </c>
      <c r="F31" s="32">
        <v>367</v>
      </c>
      <c r="G31" s="32">
        <v>355</v>
      </c>
      <c r="H31" s="32">
        <v>342</v>
      </c>
      <c r="I31" s="32">
        <v>323</v>
      </c>
      <c r="J31" s="32">
        <v>337</v>
      </c>
      <c r="K31" s="32">
        <v>322</v>
      </c>
      <c r="L31" s="32">
        <v>254</v>
      </c>
      <c r="M31" s="32">
        <v>255</v>
      </c>
      <c r="N31" s="32">
        <v>225</v>
      </c>
      <c r="O31" s="32">
        <v>285</v>
      </c>
      <c r="P31" s="24">
        <f t="shared" si="1"/>
        <v>3589</v>
      </c>
    </row>
    <row r="32" spans="1:16" ht="33.75">
      <c r="A32" s="79"/>
      <c r="B32" s="89"/>
      <c r="C32" s="40" t="s">
        <v>45</v>
      </c>
      <c r="D32" s="32">
        <v>102</v>
      </c>
      <c r="E32" s="32">
        <v>86</v>
      </c>
      <c r="F32" s="32">
        <v>118</v>
      </c>
      <c r="G32" s="32">
        <v>103</v>
      </c>
      <c r="H32" s="32">
        <v>113</v>
      </c>
      <c r="I32" s="32">
        <v>121</v>
      </c>
      <c r="J32" s="32">
        <v>100</v>
      </c>
      <c r="K32" s="32">
        <v>104</v>
      </c>
      <c r="L32" s="32">
        <v>82</v>
      </c>
      <c r="M32" s="32">
        <v>121</v>
      </c>
      <c r="N32" s="32">
        <v>80</v>
      </c>
      <c r="O32" s="32">
        <v>114</v>
      </c>
      <c r="P32" s="24">
        <f t="shared" si="1"/>
        <v>1244</v>
      </c>
    </row>
    <row r="33" spans="1:16" ht="33.75">
      <c r="A33" s="79"/>
      <c r="B33" s="89"/>
      <c r="C33" s="40" t="s">
        <v>46</v>
      </c>
      <c r="D33" s="32">
        <v>84</v>
      </c>
      <c r="E33" s="32">
        <v>85</v>
      </c>
      <c r="F33" s="32">
        <v>111</v>
      </c>
      <c r="G33" s="32">
        <v>90</v>
      </c>
      <c r="H33" s="32">
        <v>97</v>
      </c>
      <c r="I33" s="32">
        <v>75</v>
      </c>
      <c r="J33" s="32">
        <v>92</v>
      </c>
      <c r="K33" s="32">
        <v>86</v>
      </c>
      <c r="L33" s="32">
        <v>85</v>
      </c>
      <c r="M33" s="32">
        <v>86</v>
      </c>
      <c r="N33" s="32">
        <v>105</v>
      </c>
      <c r="O33" s="32">
        <v>100</v>
      </c>
      <c r="P33" s="24">
        <f t="shared" si="1"/>
        <v>1096</v>
      </c>
    </row>
    <row r="34" spans="1:16" ht="12.75">
      <c r="A34" s="79"/>
      <c r="B34" s="89"/>
      <c r="C34" s="40" t="s">
        <v>44</v>
      </c>
      <c r="D34" s="32">
        <v>49</v>
      </c>
      <c r="E34" s="32">
        <v>60</v>
      </c>
      <c r="F34" s="32">
        <v>67</v>
      </c>
      <c r="G34" s="32">
        <v>55</v>
      </c>
      <c r="H34" s="32">
        <v>58</v>
      </c>
      <c r="I34" s="32">
        <v>74</v>
      </c>
      <c r="J34" s="32">
        <v>63</v>
      </c>
      <c r="K34" s="32">
        <v>65</v>
      </c>
      <c r="L34" s="32">
        <v>71</v>
      </c>
      <c r="M34" s="32">
        <v>74</v>
      </c>
      <c r="N34" s="32">
        <v>65</v>
      </c>
      <c r="O34" s="32">
        <v>62</v>
      </c>
      <c r="P34" s="24">
        <f t="shared" si="1"/>
        <v>763</v>
      </c>
    </row>
    <row r="35" spans="1:16" ht="22.5">
      <c r="A35" s="79"/>
      <c r="B35" s="89"/>
      <c r="C35" s="40" t="s">
        <v>8</v>
      </c>
      <c r="D35" s="32">
        <v>58</v>
      </c>
      <c r="E35" s="32">
        <v>51</v>
      </c>
      <c r="F35" s="32">
        <v>96</v>
      </c>
      <c r="G35" s="32">
        <v>70</v>
      </c>
      <c r="H35" s="32">
        <v>64</v>
      </c>
      <c r="I35" s="32">
        <v>80</v>
      </c>
      <c r="J35" s="32">
        <v>75</v>
      </c>
      <c r="K35" s="32">
        <v>94</v>
      </c>
      <c r="L35" s="32">
        <v>63</v>
      </c>
      <c r="M35" s="32">
        <v>95</v>
      </c>
      <c r="N35" s="32">
        <v>88</v>
      </c>
      <c r="O35" s="32">
        <v>92</v>
      </c>
      <c r="P35" s="24">
        <f t="shared" si="1"/>
        <v>926</v>
      </c>
    </row>
    <row r="36" spans="1:16" ht="23.25" thickBot="1">
      <c r="A36" s="79"/>
      <c r="B36" s="89"/>
      <c r="C36" s="42" t="s">
        <v>9</v>
      </c>
      <c r="D36" s="35">
        <v>41</v>
      </c>
      <c r="E36" s="35">
        <v>34</v>
      </c>
      <c r="F36" s="35">
        <v>45</v>
      </c>
      <c r="G36" s="35">
        <v>62</v>
      </c>
      <c r="H36" s="35">
        <v>59</v>
      </c>
      <c r="I36" s="35">
        <v>69</v>
      </c>
      <c r="J36" s="35">
        <v>54</v>
      </c>
      <c r="K36" s="35">
        <v>65</v>
      </c>
      <c r="L36" s="35">
        <v>58</v>
      </c>
      <c r="M36" s="35">
        <v>80</v>
      </c>
      <c r="N36" s="35">
        <v>63</v>
      </c>
      <c r="O36" s="35">
        <v>59</v>
      </c>
      <c r="P36" s="25">
        <f t="shared" si="1"/>
        <v>689</v>
      </c>
    </row>
    <row r="37" spans="1:16" ht="53.25" thickBot="1">
      <c r="A37" s="79"/>
      <c r="B37" s="89"/>
      <c r="C37" s="36" t="s">
        <v>10</v>
      </c>
      <c r="D37" s="28">
        <f>SUM(D38:D46)</f>
        <v>348626</v>
      </c>
      <c r="E37" s="28">
        <f aca="true" t="shared" si="4" ref="E37:P37">SUM(E38:E46)</f>
        <v>445607</v>
      </c>
      <c r="F37" s="28">
        <f t="shared" si="4"/>
        <v>539097</v>
      </c>
      <c r="G37" s="28">
        <f t="shared" si="4"/>
        <v>651291</v>
      </c>
      <c r="H37" s="28">
        <f t="shared" si="4"/>
        <v>591333</v>
      </c>
      <c r="I37" s="28">
        <f t="shared" si="4"/>
        <v>606638</v>
      </c>
      <c r="J37" s="28">
        <f t="shared" si="4"/>
        <v>933383</v>
      </c>
      <c r="K37" s="28">
        <f t="shared" si="4"/>
        <v>621108</v>
      </c>
      <c r="L37" s="28">
        <f t="shared" si="4"/>
        <v>380502</v>
      </c>
      <c r="M37" s="28">
        <f t="shared" si="4"/>
        <v>539504</v>
      </c>
      <c r="N37" s="28">
        <f t="shared" si="4"/>
        <v>536259</v>
      </c>
      <c r="O37" s="28">
        <f t="shared" si="4"/>
        <v>794210</v>
      </c>
      <c r="P37" s="28">
        <f t="shared" si="4"/>
        <v>6987558</v>
      </c>
    </row>
    <row r="38" spans="1:16" ht="22.5">
      <c r="A38" s="79"/>
      <c r="B38" s="89"/>
      <c r="C38" s="37" t="s">
        <v>43</v>
      </c>
      <c r="D38" s="38">
        <v>101066</v>
      </c>
      <c r="E38" s="38">
        <v>93659</v>
      </c>
      <c r="F38" s="38">
        <v>147456</v>
      </c>
      <c r="G38" s="38">
        <v>144468</v>
      </c>
      <c r="H38" s="38">
        <v>193161</v>
      </c>
      <c r="I38" s="38">
        <v>130428</v>
      </c>
      <c r="J38" s="38">
        <v>240103</v>
      </c>
      <c r="K38" s="38">
        <v>152510</v>
      </c>
      <c r="L38" s="38">
        <v>45112</v>
      </c>
      <c r="M38" s="38">
        <v>84054</v>
      </c>
      <c r="N38" s="38">
        <v>148250</v>
      </c>
      <c r="O38" s="38">
        <v>273404</v>
      </c>
      <c r="P38" s="39">
        <f t="shared" si="1"/>
        <v>1753671</v>
      </c>
    </row>
    <row r="39" spans="1:16" ht="33.75">
      <c r="A39" s="79"/>
      <c r="B39" s="89"/>
      <c r="C39" s="40" t="s">
        <v>5</v>
      </c>
      <c r="D39" s="32">
        <v>93007</v>
      </c>
      <c r="E39" s="32">
        <v>176914</v>
      </c>
      <c r="F39" s="32">
        <v>126051</v>
      </c>
      <c r="G39" s="32">
        <v>188683</v>
      </c>
      <c r="H39" s="32">
        <v>146170</v>
      </c>
      <c r="I39" s="32">
        <v>217429</v>
      </c>
      <c r="J39" s="32">
        <v>400915</v>
      </c>
      <c r="K39" s="32">
        <v>202048</v>
      </c>
      <c r="L39" s="32">
        <v>112771</v>
      </c>
      <c r="M39" s="32">
        <v>150743</v>
      </c>
      <c r="N39" s="32">
        <v>124811</v>
      </c>
      <c r="O39" s="32">
        <v>126027</v>
      </c>
      <c r="P39" s="24">
        <f t="shared" si="1"/>
        <v>2065569</v>
      </c>
    </row>
    <row r="40" spans="1:16" ht="22.5">
      <c r="A40" s="79"/>
      <c r="B40" s="89"/>
      <c r="C40" s="40" t="s">
        <v>6</v>
      </c>
      <c r="D40" s="32">
        <v>38313</v>
      </c>
      <c r="E40" s="32">
        <v>41340</v>
      </c>
      <c r="F40" s="32">
        <v>86910</v>
      </c>
      <c r="G40" s="32">
        <v>53466</v>
      </c>
      <c r="H40" s="32">
        <v>55567</v>
      </c>
      <c r="I40" s="32">
        <v>58344</v>
      </c>
      <c r="J40" s="32">
        <v>73347</v>
      </c>
      <c r="K40" s="32">
        <v>75124</v>
      </c>
      <c r="L40" s="32">
        <v>61556</v>
      </c>
      <c r="M40" s="32">
        <v>75443</v>
      </c>
      <c r="N40" s="32">
        <v>69919</v>
      </c>
      <c r="O40" s="32">
        <v>60496</v>
      </c>
      <c r="P40" s="24">
        <f t="shared" si="1"/>
        <v>749825</v>
      </c>
    </row>
    <row r="41" spans="1:16" ht="12.75">
      <c r="A41" s="79"/>
      <c r="B41" s="89"/>
      <c r="C41" s="41" t="s">
        <v>7</v>
      </c>
      <c r="D41" s="32">
        <v>58088</v>
      </c>
      <c r="E41" s="32">
        <v>61557</v>
      </c>
      <c r="F41" s="32">
        <v>87930</v>
      </c>
      <c r="G41" s="32">
        <v>105659</v>
      </c>
      <c r="H41" s="32">
        <v>112032</v>
      </c>
      <c r="I41" s="32">
        <v>108338</v>
      </c>
      <c r="J41" s="32">
        <v>112705</v>
      </c>
      <c r="K41" s="32">
        <v>107207</v>
      </c>
      <c r="L41" s="32">
        <v>86023</v>
      </c>
      <c r="M41" s="32">
        <v>128605</v>
      </c>
      <c r="N41" s="32">
        <v>94233</v>
      </c>
      <c r="O41" s="32">
        <v>110500</v>
      </c>
      <c r="P41" s="24">
        <f t="shared" si="1"/>
        <v>1172877</v>
      </c>
    </row>
    <row r="42" spans="1:16" ht="33.75">
      <c r="A42" s="79"/>
      <c r="B42" s="89"/>
      <c r="C42" s="40" t="s">
        <v>45</v>
      </c>
      <c r="D42" s="32">
        <v>12387</v>
      </c>
      <c r="E42" s="32">
        <v>18372</v>
      </c>
      <c r="F42" s="32">
        <v>27203</v>
      </c>
      <c r="G42" s="32">
        <v>17174</v>
      </c>
      <c r="H42" s="32">
        <v>21972</v>
      </c>
      <c r="I42" s="32">
        <v>27819</v>
      </c>
      <c r="J42" s="32">
        <v>27354</v>
      </c>
      <c r="K42" s="32">
        <v>25654</v>
      </c>
      <c r="L42" s="32">
        <v>21194</v>
      </c>
      <c r="M42" s="32">
        <v>49297</v>
      </c>
      <c r="N42" s="32">
        <v>19663</v>
      </c>
      <c r="O42" s="32">
        <v>38291</v>
      </c>
      <c r="P42" s="24">
        <f t="shared" si="1"/>
        <v>306380</v>
      </c>
    </row>
    <row r="43" spans="1:16" ht="33.75">
      <c r="A43" s="79"/>
      <c r="B43" s="89"/>
      <c r="C43" s="40" t="s">
        <v>46</v>
      </c>
      <c r="D43" s="32">
        <v>8348</v>
      </c>
      <c r="E43" s="32">
        <v>6995</v>
      </c>
      <c r="F43" s="32">
        <v>26161</v>
      </c>
      <c r="G43" s="32">
        <v>61148</v>
      </c>
      <c r="H43" s="32">
        <v>22512</v>
      </c>
      <c r="I43" s="32">
        <v>10887</v>
      </c>
      <c r="J43" s="32">
        <v>10571</v>
      </c>
      <c r="K43" s="32">
        <v>12459</v>
      </c>
      <c r="L43" s="32">
        <v>9229</v>
      </c>
      <c r="M43" s="32">
        <v>7488</v>
      </c>
      <c r="N43" s="32">
        <v>14270</v>
      </c>
      <c r="O43" s="32">
        <v>17137</v>
      </c>
      <c r="P43" s="24">
        <f t="shared" si="1"/>
        <v>207205</v>
      </c>
    </row>
    <row r="44" spans="1:16" ht="12.75">
      <c r="A44" s="79"/>
      <c r="B44" s="89"/>
      <c r="C44" s="40" t="s">
        <v>44</v>
      </c>
      <c r="D44" s="32">
        <v>11517</v>
      </c>
      <c r="E44" s="32">
        <v>18725</v>
      </c>
      <c r="F44" s="32">
        <v>18196</v>
      </c>
      <c r="G44" s="32">
        <v>19865</v>
      </c>
      <c r="H44" s="32">
        <v>15213</v>
      </c>
      <c r="I44" s="32">
        <v>21730</v>
      </c>
      <c r="J44" s="32">
        <v>33732</v>
      </c>
      <c r="K44" s="32">
        <v>12292</v>
      </c>
      <c r="L44" s="32">
        <v>22267</v>
      </c>
      <c r="M44" s="32">
        <v>12573</v>
      </c>
      <c r="N44" s="32">
        <v>30698</v>
      </c>
      <c r="O44" s="32">
        <v>136823</v>
      </c>
      <c r="P44" s="24">
        <f t="shared" si="1"/>
        <v>353631</v>
      </c>
    </row>
    <row r="45" spans="1:16" ht="22.5">
      <c r="A45" s="79"/>
      <c r="B45" s="89"/>
      <c r="C45" s="40" t="s">
        <v>8</v>
      </c>
      <c r="D45" s="32">
        <v>22174</v>
      </c>
      <c r="E45" s="32">
        <v>21271</v>
      </c>
      <c r="F45" s="32">
        <v>16642</v>
      </c>
      <c r="G45" s="32">
        <v>50353</v>
      </c>
      <c r="H45" s="32">
        <v>20434</v>
      </c>
      <c r="I45" s="32">
        <v>24409</v>
      </c>
      <c r="J45" s="32">
        <v>17301</v>
      </c>
      <c r="K45" s="32">
        <v>25376</v>
      </c>
      <c r="L45" s="32">
        <v>17435</v>
      </c>
      <c r="M45" s="32">
        <v>24994</v>
      </c>
      <c r="N45" s="32">
        <v>26633</v>
      </c>
      <c r="O45" s="32">
        <v>23320</v>
      </c>
      <c r="P45" s="24">
        <f t="shared" si="1"/>
        <v>290342</v>
      </c>
    </row>
    <row r="46" spans="1:16" ht="23.25" thickBot="1">
      <c r="A46" s="80"/>
      <c r="B46" s="90"/>
      <c r="C46" s="42" t="s">
        <v>9</v>
      </c>
      <c r="D46" s="35">
        <v>3726</v>
      </c>
      <c r="E46" s="35">
        <v>6774</v>
      </c>
      <c r="F46" s="35">
        <v>2548</v>
      </c>
      <c r="G46" s="35">
        <v>10475</v>
      </c>
      <c r="H46" s="35">
        <v>4272</v>
      </c>
      <c r="I46" s="35">
        <v>7254</v>
      </c>
      <c r="J46" s="35">
        <v>17355</v>
      </c>
      <c r="K46" s="35">
        <v>8438</v>
      </c>
      <c r="L46" s="35">
        <v>4915</v>
      </c>
      <c r="M46" s="35">
        <v>6307</v>
      </c>
      <c r="N46" s="35">
        <v>7782</v>
      </c>
      <c r="O46" s="35">
        <v>8212</v>
      </c>
      <c r="P46" s="25">
        <f t="shared" si="1"/>
        <v>88058</v>
      </c>
    </row>
    <row r="47" ht="10.5" customHeight="1">
      <c r="A47" s="43"/>
    </row>
    <row r="48" ht="10.5" customHeight="1"/>
    <row r="49" ht="10.5" customHeight="1">
      <c r="A49" s="11"/>
    </row>
    <row r="50" ht="10.5" customHeight="1">
      <c r="A50" s="11"/>
    </row>
    <row r="51" ht="10.5" customHeight="1"/>
    <row r="52" ht="10.5" customHeight="1">
      <c r="A52" s="11"/>
    </row>
    <row r="53" ht="10.5" customHeight="1">
      <c r="A53" s="11"/>
    </row>
    <row r="54" ht="10.5" customHeight="1"/>
    <row r="55" ht="10.5" customHeight="1">
      <c r="A55" s="11"/>
    </row>
    <row r="56" ht="10.5" customHeight="1">
      <c r="A56" s="11"/>
    </row>
    <row r="57" ht="10.5" customHeight="1">
      <c r="A57" s="11"/>
    </row>
    <row r="58" ht="10.5" customHeight="1">
      <c r="A58" s="11"/>
    </row>
    <row r="59" ht="10.5" customHeight="1">
      <c r="A59" s="11"/>
    </row>
    <row r="60" ht="10.5" customHeight="1">
      <c r="A60" s="11"/>
    </row>
    <row r="61" ht="10.5" customHeight="1">
      <c r="A61" s="11"/>
    </row>
    <row r="62" ht="10.5" customHeight="1">
      <c r="A62" s="11"/>
    </row>
    <row r="63" ht="10.5" customHeight="1">
      <c r="A63" s="11"/>
    </row>
    <row r="64" ht="10.5" customHeight="1">
      <c r="A64" s="11"/>
    </row>
    <row r="65" ht="10.5" customHeight="1">
      <c r="A65" s="11"/>
    </row>
    <row r="66" ht="10.5" customHeight="1">
      <c r="A66" s="11"/>
    </row>
    <row r="67" ht="12.75">
      <c r="B67" s="10"/>
    </row>
    <row r="68" ht="12.75">
      <c r="B68" s="10"/>
    </row>
    <row r="69" ht="12.75">
      <c r="B69" s="10"/>
    </row>
    <row r="70" ht="12.75">
      <c r="B70" s="10"/>
    </row>
  </sheetData>
  <sheetProtection/>
  <mergeCells count="4">
    <mergeCell ref="A7:A46"/>
    <mergeCell ref="B7:B26"/>
    <mergeCell ref="B27:B46"/>
    <mergeCell ref="D5:P5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4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.00390625" style="1" customWidth="1"/>
    <col min="2" max="2" width="3.28125" style="1" bestFit="1" customWidth="1"/>
    <col min="3" max="3" width="14.140625" style="15" customWidth="1"/>
    <col min="4" max="6" width="6.57421875" style="1" bestFit="1" customWidth="1"/>
    <col min="7" max="7" width="6.28125" style="1" customWidth="1"/>
    <col min="8" max="8" width="7.00390625" style="1" customWidth="1"/>
    <col min="9" max="9" width="6.57421875" style="1" bestFit="1" customWidth="1"/>
    <col min="10" max="10" width="6.8515625" style="1" bestFit="1" customWidth="1"/>
    <col min="11" max="11" width="6.28125" style="1" customWidth="1"/>
    <col min="12" max="12" width="6.8515625" style="1" bestFit="1" customWidth="1"/>
    <col min="13" max="15" width="6.57421875" style="1" bestFit="1" customWidth="1"/>
    <col min="16" max="16" width="7.57421875" style="44" bestFit="1" customWidth="1"/>
    <col min="17" max="16384" width="9.140625" style="1" customWidth="1"/>
  </cols>
  <sheetData>
    <row r="1" spans="1:8" ht="18.75">
      <c r="A1" s="3" t="s">
        <v>48</v>
      </c>
      <c r="B1" s="2"/>
      <c r="C1" s="13"/>
      <c r="D1" s="2"/>
      <c r="E1" s="2"/>
      <c r="F1" s="2"/>
      <c r="G1" s="2"/>
      <c r="H1" s="2"/>
    </row>
    <row r="2" spans="1:8" ht="12.75">
      <c r="A2" s="9" t="s">
        <v>1</v>
      </c>
      <c r="B2" s="2"/>
      <c r="C2" s="13"/>
      <c r="D2" s="2"/>
      <c r="E2" s="2"/>
      <c r="F2" s="2"/>
      <c r="G2" s="2"/>
      <c r="H2" s="2"/>
    </row>
    <row r="3" spans="1:8" ht="12.75">
      <c r="A3" s="2" t="s">
        <v>0</v>
      </c>
      <c r="B3" s="2"/>
      <c r="C3" s="13"/>
      <c r="D3" s="2"/>
      <c r="E3" s="2"/>
      <c r="F3" s="2"/>
      <c r="G3" s="2"/>
      <c r="H3" s="2"/>
    </row>
    <row r="4" ht="9.75" customHeight="1" thickBot="1"/>
    <row r="5" spans="4:16" ht="15" customHeight="1" thickBot="1">
      <c r="D5" s="84">
        <v>2010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4:16" ht="84" thickBot="1">
      <c r="D6" s="18" t="s">
        <v>26</v>
      </c>
      <c r="E6" s="18" t="s">
        <v>27</v>
      </c>
      <c r="F6" s="18" t="s">
        <v>28</v>
      </c>
      <c r="G6" s="18" t="s">
        <v>34</v>
      </c>
      <c r="H6" s="18" t="s">
        <v>35</v>
      </c>
      <c r="I6" s="18" t="s">
        <v>36</v>
      </c>
      <c r="J6" s="18" t="s">
        <v>37</v>
      </c>
      <c r="K6" s="18" t="s">
        <v>38</v>
      </c>
      <c r="L6" s="18" t="s">
        <v>39</v>
      </c>
      <c r="M6" s="18" t="s">
        <v>40</v>
      </c>
      <c r="N6" s="18" t="s">
        <v>41</v>
      </c>
      <c r="O6" s="18" t="s">
        <v>42</v>
      </c>
      <c r="P6" s="18" t="s">
        <v>56</v>
      </c>
    </row>
    <row r="7" spans="1:16" ht="21.75" customHeight="1" thickBot="1">
      <c r="A7" s="81" t="s">
        <v>2</v>
      </c>
      <c r="B7" s="96" t="s">
        <v>12</v>
      </c>
      <c r="C7" s="22" t="s">
        <v>4</v>
      </c>
      <c r="D7" s="45">
        <f>SUM(D8:D16)</f>
        <v>319</v>
      </c>
      <c r="E7" s="45">
        <f aca="true" t="shared" si="0" ref="E7:O7">SUM(E8:E16)</f>
        <v>366</v>
      </c>
      <c r="F7" s="45">
        <f t="shared" si="0"/>
        <v>462</v>
      </c>
      <c r="G7" s="45">
        <f t="shared" si="0"/>
        <v>355</v>
      </c>
      <c r="H7" s="45">
        <f t="shared" si="0"/>
        <v>394</v>
      </c>
      <c r="I7" s="45">
        <f t="shared" si="0"/>
        <v>385</v>
      </c>
      <c r="J7" s="45">
        <f t="shared" si="0"/>
        <v>373</v>
      </c>
      <c r="K7" s="45">
        <f t="shared" si="0"/>
        <v>394</v>
      </c>
      <c r="L7" s="45">
        <f t="shared" si="0"/>
        <v>330</v>
      </c>
      <c r="M7" s="45">
        <f t="shared" si="0"/>
        <v>384</v>
      </c>
      <c r="N7" s="45">
        <f t="shared" si="0"/>
        <v>315</v>
      </c>
      <c r="O7" s="45">
        <f t="shared" si="0"/>
        <v>395</v>
      </c>
      <c r="P7" s="23">
        <f>SUM(D7:O7)</f>
        <v>4472</v>
      </c>
    </row>
    <row r="8" spans="1:16" ht="22.5">
      <c r="A8" s="82"/>
      <c r="B8" s="97"/>
      <c r="C8" s="46" t="s">
        <v>43</v>
      </c>
      <c r="D8" s="47">
        <v>33</v>
      </c>
      <c r="E8" s="47">
        <v>37</v>
      </c>
      <c r="F8" s="47">
        <v>52</v>
      </c>
      <c r="G8" s="47">
        <v>42</v>
      </c>
      <c r="H8" s="47">
        <v>50</v>
      </c>
      <c r="I8" s="47">
        <v>39</v>
      </c>
      <c r="J8" s="47">
        <v>35</v>
      </c>
      <c r="K8" s="47">
        <v>50</v>
      </c>
      <c r="L8" s="47">
        <v>34</v>
      </c>
      <c r="M8" s="47">
        <v>42</v>
      </c>
      <c r="N8" s="47">
        <v>42</v>
      </c>
      <c r="O8" s="47">
        <v>41</v>
      </c>
      <c r="P8" s="48">
        <f aca="true" t="shared" si="1" ref="P8:P46">SUM(D8:O8)</f>
        <v>497</v>
      </c>
    </row>
    <row r="9" spans="1:16" ht="21" customHeight="1">
      <c r="A9" s="82"/>
      <c r="B9" s="97"/>
      <c r="C9" s="31" t="s">
        <v>5</v>
      </c>
      <c r="D9" s="49">
        <v>70</v>
      </c>
      <c r="E9" s="49">
        <v>92</v>
      </c>
      <c r="F9" s="49">
        <v>130</v>
      </c>
      <c r="G9" s="49">
        <v>79</v>
      </c>
      <c r="H9" s="49">
        <v>101</v>
      </c>
      <c r="I9" s="49">
        <v>96</v>
      </c>
      <c r="J9" s="49">
        <v>64</v>
      </c>
      <c r="K9" s="49">
        <v>100</v>
      </c>
      <c r="L9" s="49">
        <v>79</v>
      </c>
      <c r="M9" s="49">
        <v>92</v>
      </c>
      <c r="N9" s="49">
        <v>74</v>
      </c>
      <c r="O9" s="49">
        <v>93</v>
      </c>
      <c r="P9" s="19">
        <f t="shared" si="1"/>
        <v>1070</v>
      </c>
    </row>
    <row r="10" spans="1:16" ht="22.5">
      <c r="A10" s="82"/>
      <c r="B10" s="97"/>
      <c r="C10" s="31" t="s">
        <v>6</v>
      </c>
      <c r="D10" s="49">
        <v>58</v>
      </c>
      <c r="E10" s="49">
        <v>59</v>
      </c>
      <c r="F10" s="49">
        <v>72</v>
      </c>
      <c r="G10" s="49">
        <v>67</v>
      </c>
      <c r="H10" s="49">
        <v>73</v>
      </c>
      <c r="I10" s="49">
        <v>76</v>
      </c>
      <c r="J10" s="49">
        <v>63</v>
      </c>
      <c r="K10" s="49">
        <v>63</v>
      </c>
      <c r="L10" s="49">
        <v>45</v>
      </c>
      <c r="M10" s="49">
        <v>69</v>
      </c>
      <c r="N10" s="49">
        <v>43</v>
      </c>
      <c r="O10" s="49">
        <v>67</v>
      </c>
      <c r="P10" s="19">
        <f t="shared" si="1"/>
        <v>755</v>
      </c>
    </row>
    <row r="11" spans="1:16" ht="12.75">
      <c r="A11" s="82"/>
      <c r="B11" s="97"/>
      <c r="C11" s="33" t="s">
        <v>7</v>
      </c>
      <c r="D11" s="49">
        <v>79</v>
      </c>
      <c r="E11" s="49">
        <v>77</v>
      </c>
      <c r="F11" s="49">
        <v>91</v>
      </c>
      <c r="G11" s="49">
        <v>75</v>
      </c>
      <c r="H11" s="49">
        <v>87</v>
      </c>
      <c r="I11" s="49">
        <v>85</v>
      </c>
      <c r="J11" s="49">
        <v>89</v>
      </c>
      <c r="K11" s="49">
        <v>82</v>
      </c>
      <c r="L11" s="49">
        <v>72</v>
      </c>
      <c r="M11" s="49">
        <v>80</v>
      </c>
      <c r="N11" s="49">
        <v>67</v>
      </c>
      <c r="O11" s="49">
        <v>88</v>
      </c>
      <c r="P11" s="19">
        <f t="shared" si="1"/>
        <v>972</v>
      </c>
    </row>
    <row r="12" spans="1:16" ht="33.75">
      <c r="A12" s="82"/>
      <c r="B12" s="97"/>
      <c r="C12" s="31" t="s">
        <v>45</v>
      </c>
      <c r="D12" s="49">
        <v>16</v>
      </c>
      <c r="E12" s="49">
        <v>17</v>
      </c>
      <c r="F12" s="49">
        <v>15</v>
      </c>
      <c r="G12" s="49">
        <v>14</v>
      </c>
      <c r="H12" s="49">
        <v>16</v>
      </c>
      <c r="I12" s="49">
        <v>22</v>
      </c>
      <c r="J12" s="49">
        <v>22</v>
      </c>
      <c r="K12" s="49">
        <v>15</v>
      </c>
      <c r="L12" s="49">
        <v>18</v>
      </c>
      <c r="M12" s="49">
        <v>24</v>
      </c>
      <c r="N12" s="49">
        <v>9</v>
      </c>
      <c r="O12" s="49">
        <v>19</v>
      </c>
      <c r="P12" s="19">
        <f t="shared" si="1"/>
        <v>207</v>
      </c>
    </row>
    <row r="13" spans="1:16" ht="33.75">
      <c r="A13" s="82"/>
      <c r="B13" s="97"/>
      <c r="C13" s="31" t="s">
        <v>46</v>
      </c>
      <c r="D13" s="49">
        <v>12</v>
      </c>
      <c r="E13" s="49">
        <v>18</v>
      </c>
      <c r="F13" s="49">
        <v>17</v>
      </c>
      <c r="G13" s="49">
        <v>14</v>
      </c>
      <c r="H13" s="49">
        <v>21</v>
      </c>
      <c r="I13" s="49">
        <v>21</v>
      </c>
      <c r="J13" s="49">
        <v>22</v>
      </c>
      <c r="K13" s="49">
        <v>23</v>
      </c>
      <c r="L13" s="49">
        <v>23</v>
      </c>
      <c r="M13" s="49">
        <v>14</v>
      </c>
      <c r="N13" s="49">
        <v>19</v>
      </c>
      <c r="O13" s="49">
        <v>32</v>
      </c>
      <c r="P13" s="19">
        <f t="shared" si="1"/>
        <v>236</v>
      </c>
    </row>
    <row r="14" spans="1:16" ht="22.5">
      <c r="A14" s="82"/>
      <c r="B14" s="97"/>
      <c r="C14" s="31" t="s">
        <v>44</v>
      </c>
      <c r="D14" s="49">
        <v>32</v>
      </c>
      <c r="E14" s="49">
        <v>29</v>
      </c>
      <c r="F14" s="49">
        <v>48</v>
      </c>
      <c r="G14" s="49">
        <v>32</v>
      </c>
      <c r="H14" s="49">
        <v>27</v>
      </c>
      <c r="I14" s="49">
        <v>31</v>
      </c>
      <c r="J14" s="49">
        <v>42</v>
      </c>
      <c r="K14" s="49">
        <v>29</v>
      </c>
      <c r="L14" s="49">
        <v>28</v>
      </c>
      <c r="M14" s="49">
        <v>29</v>
      </c>
      <c r="N14" s="49">
        <v>31</v>
      </c>
      <c r="O14" s="49">
        <v>35</v>
      </c>
      <c r="P14" s="19">
        <f t="shared" si="1"/>
        <v>393</v>
      </c>
    </row>
    <row r="15" spans="1:16" ht="22.5">
      <c r="A15" s="82"/>
      <c r="B15" s="97"/>
      <c r="C15" s="31" t="s">
        <v>8</v>
      </c>
      <c r="D15" s="49">
        <v>17</v>
      </c>
      <c r="E15" s="49">
        <v>32</v>
      </c>
      <c r="F15" s="49">
        <v>26</v>
      </c>
      <c r="G15" s="49">
        <v>25</v>
      </c>
      <c r="H15" s="49">
        <v>11</v>
      </c>
      <c r="I15" s="49">
        <v>8</v>
      </c>
      <c r="J15" s="49">
        <v>17</v>
      </c>
      <c r="K15" s="49">
        <v>17</v>
      </c>
      <c r="L15" s="49">
        <v>23</v>
      </c>
      <c r="M15" s="49">
        <v>22</v>
      </c>
      <c r="N15" s="49">
        <v>24</v>
      </c>
      <c r="O15" s="49">
        <v>20</v>
      </c>
      <c r="P15" s="19">
        <f t="shared" si="1"/>
        <v>242</v>
      </c>
    </row>
    <row r="16" spans="1:16" ht="23.25" thickBot="1">
      <c r="A16" s="82"/>
      <c r="B16" s="97"/>
      <c r="C16" s="34" t="s">
        <v>9</v>
      </c>
      <c r="D16" s="50">
        <v>2</v>
      </c>
      <c r="E16" s="50">
        <v>5</v>
      </c>
      <c r="F16" s="50">
        <v>11</v>
      </c>
      <c r="G16" s="50">
        <v>7</v>
      </c>
      <c r="H16" s="50">
        <v>8</v>
      </c>
      <c r="I16" s="50">
        <v>7</v>
      </c>
      <c r="J16" s="50">
        <v>19</v>
      </c>
      <c r="K16" s="50">
        <v>15</v>
      </c>
      <c r="L16" s="50">
        <v>8</v>
      </c>
      <c r="M16" s="50">
        <v>12</v>
      </c>
      <c r="N16" s="50">
        <v>6</v>
      </c>
      <c r="O16" s="50">
        <v>0</v>
      </c>
      <c r="P16" s="21">
        <f t="shared" si="1"/>
        <v>100</v>
      </c>
    </row>
    <row r="17" spans="1:16" ht="53.25" thickBot="1">
      <c r="A17" s="82"/>
      <c r="B17" s="97"/>
      <c r="C17" s="36" t="s">
        <v>10</v>
      </c>
      <c r="D17" s="45">
        <f>SUM(D18:D26)</f>
        <v>79729</v>
      </c>
      <c r="E17" s="45">
        <f>SUM(E18:E26)</f>
        <v>83640</v>
      </c>
      <c r="F17" s="45">
        <f aca="true" t="shared" si="2" ref="F17:O17">SUM(F18:F26)</f>
        <v>115426</v>
      </c>
      <c r="G17" s="45">
        <f t="shared" si="2"/>
        <v>86864</v>
      </c>
      <c r="H17" s="45">
        <f t="shared" si="2"/>
        <v>124597</v>
      </c>
      <c r="I17" s="45">
        <f t="shared" si="2"/>
        <v>65374</v>
      </c>
      <c r="J17" s="45">
        <f t="shared" si="2"/>
        <v>103534</v>
      </c>
      <c r="K17" s="45">
        <f t="shared" si="2"/>
        <v>95463</v>
      </c>
      <c r="L17" s="45">
        <f t="shared" si="2"/>
        <v>68667</v>
      </c>
      <c r="M17" s="45">
        <f t="shared" si="2"/>
        <v>90798</v>
      </c>
      <c r="N17" s="45">
        <f t="shared" si="2"/>
        <v>133763</v>
      </c>
      <c r="O17" s="45">
        <f t="shared" si="2"/>
        <v>127301</v>
      </c>
      <c r="P17" s="23">
        <f t="shared" si="1"/>
        <v>1175156</v>
      </c>
    </row>
    <row r="18" spans="1:16" ht="22.5">
      <c r="A18" s="82"/>
      <c r="B18" s="97"/>
      <c r="C18" s="46" t="s">
        <v>43</v>
      </c>
      <c r="D18" s="47">
        <v>33092</v>
      </c>
      <c r="E18" s="47">
        <v>16063</v>
      </c>
      <c r="F18" s="47">
        <v>19198</v>
      </c>
      <c r="G18" s="47">
        <v>35373</v>
      </c>
      <c r="H18" s="47">
        <v>49305</v>
      </c>
      <c r="I18" s="47">
        <v>10441</v>
      </c>
      <c r="J18" s="47">
        <v>24981</v>
      </c>
      <c r="K18" s="47">
        <v>18255</v>
      </c>
      <c r="L18" s="47">
        <v>12753</v>
      </c>
      <c r="M18" s="47">
        <v>31312</v>
      </c>
      <c r="N18" s="47">
        <v>33638</v>
      </c>
      <c r="O18" s="47">
        <v>20571</v>
      </c>
      <c r="P18" s="48">
        <f t="shared" si="1"/>
        <v>304982</v>
      </c>
    </row>
    <row r="19" spans="1:16" ht="33.75">
      <c r="A19" s="82"/>
      <c r="B19" s="97"/>
      <c r="C19" s="31" t="s">
        <v>5</v>
      </c>
      <c r="D19" s="49">
        <v>11916</v>
      </c>
      <c r="E19" s="49">
        <v>19750</v>
      </c>
      <c r="F19" s="49">
        <v>28499</v>
      </c>
      <c r="G19" s="49">
        <v>15830</v>
      </c>
      <c r="H19" s="49">
        <v>21316</v>
      </c>
      <c r="I19" s="49">
        <v>16639</v>
      </c>
      <c r="J19" s="49">
        <v>15890</v>
      </c>
      <c r="K19" s="49">
        <v>21232</v>
      </c>
      <c r="L19" s="49">
        <v>18606</v>
      </c>
      <c r="M19" s="49">
        <v>8901</v>
      </c>
      <c r="N19" s="49">
        <v>26101</v>
      </c>
      <c r="O19" s="49">
        <v>47633</v>
      </c>
      <c r="P19" s="19">
        <f t="shared" si="1"/>
        <v>252313</v>
      </c>
    </row>
    <row r="20" spans="1:16" ht="22.5">
      <c r="A20" s="82"/>
      <c r="B20" s="97"/>
      <c r="C20" s="31" t="s">
        <v>6</v>
      </c>
      <c r="D20" s="49">
        <v>7300</v>
      </c>
      <c r="E20" s="49">
        <v>6587</v>
      </c>
      <c r="F20" s="49">
        <v>15967</v>
      </c>
      <c r="G20" s="49">
        <v>12847</v>
      </c>
      <c r="H20" s="49">
        <v>11246</v>
      </c>
      <c r="I20" s="49">
        <v>10192</v>
      </c>
      <c r="J20" s="49">
        <v>17852</v>
      </c>
      <c r="K20" s="49">
        <v>7857</v>
      </c>
      <c r="L20" s="49">
        <v>8316</v>
      </c>
      <c r="M20" s="49">
        <v>14258</v>
      </c>
      <c r="N20" s="49">
        <v>19046</v>
      </c>
      <c r="O20" s="49">
        <v>22077</v>
      </c>
      <c r="P20" s="19">
        <f t="shared" si="1"/>
        <v>153545</v>
      </c>
    </row>
    <row r="21" spans="1:16" ht="12.75">
      <c r="A21" s="82"/>
      <c r="B21" s="97"/>
      <c r="C21" s="33" t="s">
        <v>7</v>
      </c>
      <c r="D21" s="49">
        <v>12502</v>
      </c>
      <c r="E21" s="49">
        <v>11862</v>
      </c>
      <c r="F21" s="49">
        <v>31626</v>
      </c>
      <c r="G21" s="49">
        <v>10830</v>
      </c>
      <c r="H21" s="49">
        <v>26249</v>
      </c>
      <c r="I21" s="49">
        <v>12915</v>
      </c>
      <c r="J21" s="49">
        <v>29403</v>
      </c>
      <c r="K21" s="49">
        <v>24932</v>
      </c>
      <c r="L21" s="49">
        <v>10041</v>
      </c>
      <c r="M21" s="49">
        <v>22453</v>
      </c>
      <c r="N21" s="49">
        <v>34352</v>
      </c>
      <c r="O21" s="49">
        <v>13359</v>
      </c>
      <c r="P21" s="19">
        <f t="shared" si="1"/>
        <v>240524</v>
      </c>
    </row>
    <row r="22" spans="1:16" ht="33.75">
      <c r="A22" s="82"/>
      <c r="B22" s="97"/>
      <c r="C22" s="31" t="s">
        <v>45</v>
      </c>
      <c r="D22" s="49">
        <v>2960</v>
      </c>
      <c r="E22" s="49">
        <v>4820</v>
      </c>
      <c r="F22" s="49">
        <v>840</v>
      </c>
      <c r="G22" s="49">
        <v>905</v>
      </c>
      <c r="H22" s="49">
        <v>4930</v>
      </c>
      <c r="I22" s="49">
        <v>2627</v>
      </c>
      <c r="J22" s="49">
        <v>2183</v>
      </c>
      <c r="K22" s="49">
        <v>2709</v>
      </c>
      <c r="L22" s="49">
        <v>1812</v>
      </c>
      <c r="M22" s="49">
        <v>2893</v>
      </c>
      <c r="N22" s="49">
        <v>4374</v>
      </c>
      <c r="O22" s="49">
        <v>1651</v>
      </c>
      <c r="P22" s="19">
        <f t="shared" si="1"/>
        <v>32704</v>
      </c>
    </row>
    <row r="23" spans="1:16" ht="33.75">
      <c r="A23" s="82"/>
      <c r="B23" s="97"/>
      <c r="C23" s="31" t="s">
        <v>46</v>
      </c>
      <c r="D23" s="49">
        <v>1232</v>
      </c>
      <c r="E23" s="49">
        <v>2865</v>
      </c>
      <c r="F23" s="49">
        <v>2141</v>
      </c>
      <c r="G23" s="49">
        <v>1056</v>
      </c>
      <c r="H23" s="49">
        <v>2625</v>
      </c>
      <c r="I23" s="49">
        <v>2806</v>
      </c>
      <c r="J23" s="49">
        <v>1444</v>
      </c>
      <c r="K23" s="49">
        <v>2625</v>
      </c>
      <c r="L23" s="49">
        <v>2850</v>
      </c>
      <c r="M23" s="49">
        <v>900</v>
      </c>
      <c r="N23" s="49">
        <v>5253</v>
      </c>
      <c r="O23" s="49">
        <v>3962</v>
      </c>
      <c r="P23" s="19">
        <f t="shared" si="1"/>
        <v>29759</v>
      </c>
    </row>
    <row r="24" spans="1:16" ht="22.5">
      <c r="A24" s="82"/>
      <c r="B24" s="97"/>
      <c r="C24" s="31" t="s">
        <v>44</v>
      </c>
      <c r="D24" s="49">
        <v>2470</v>
      </c>
      <c r="E24" s="49">
        <v>3907</v>
      </c>
      <c r="F24" s="49">
        <v>8499</v>
      </c>
      <c r="G24" s="49">
        <v>5798</v>
      </c>
      <c r="H24" s="49">
        <v>5770</v>
      </c>
      <c r="I24" s="49">
        <v>6747</v>
      </c>
      <c r="J24" s="49">
        <v>5864</v>
      </c>
      <c r="K24" s="49">
        <v>8047</v>
      </c>
      <c r="L24" s="49">
        <v>9242</v>
      </c>
      <c r="M24" s="49">
        <v>2778</v>
      </c>
      <c r="N24" s="49">
        <v>4451</v>
      </c>
      <c r="O24" s="49">
        <v>11759</v>
      </c>
      <c r="P24" s="19">
        <f t="shared" si="1"/>
        <v>75332</v>
      </c>
    </row>
    <row r="25" spans="1:16" ht="22.5">
      <c r="A25" s="82"/>
      <c r="B25" s="97"/>
      <c r="C25" s="31" t="s">
        <v>8</v>
      </c>
      <c r="D25" s="49">
        <v>8171</v>
      </c>
      <c r="E25" s="49">
        <v>17413</v>
      </c>
      <c r="F25" s="49">
        <v>7963</v>
      </c>
      <c r="G25" s="49">
        <v>3608</v>
      </c>
      <c r="H25" s="49">
        <v>2096</v>
      </c>
      <c r="I25" s="49">
        <v>2361</v>
      </c>
      <c r="J25" s="49">
        <v>4690</v>
      </c>
      <c r="K25" s="49">
        <v>7125</v>
      </c>
      <c r="L25" s="49">
        <v>4727</v>
      </c>
      <c r="M25" s="49">
        <v>6679</v>
      </c>
      <c r="N25" s="49">
        <v>6410</v>
      </c>
      <c r="O25" s="49">
        <v>5053</v>
      </c>
      <c r="P25" s="19">
        <f t="shared" si="1"/>
        <v>76296</v>
      </c>
    </row>
    <row r="26" spans="1:16" ht="23.25" thickBot="1">
      <c r="A26" s="82"/>
      <c r="B26" s="98"/>
      <c r="C26" s="34" t="s">
        <v>9</v>
      </c>
      <c r="D26" s="50">
        <v>86</v>
      </c>
      <c r="E26" s="50">
        <v>373</v>
      </c>
      <c r="F26" s="50">
        <v>693</v>
      </c>
      <c r="G26" s="50">
        <v>617</v>
      </c>
      <c r="H26" s="50">
        <v>1060</v>
      </c>
      <c r="I26" s="50">
        <v>646</v>
      </c>
      <c r="J26" s="50">
        <v>1227</v>
      </c>
      <c r="K26" s="50">
        <v>2681</v>
      </c>
      <c r="L26" s="50">
        <v>320</v>
      </c>
      <c r="M26" s="50">
        <v>624</v>
      </c>
      <c r="N26" s="50">
        <v>138</v>
      </c>
      <c r="O26" s="50">
        <v>1236</v>
      </c>
      <c r="P26" s="21">
        <f t="shared" si="1"/>
        <v>9701</v>
      </c>
    </row>
    <row r="27" spans="1:16" ht="21.75" customHeight="1" thickBot="1">
      <c r="A27" s="82"/>
      <c r="B27" s="91" t="s">
        <v>13</v>
      </c>
      <c r="C27" s="22" t="s">
        <v>4</v>
      </c>
      <c r="D27" s="45">
        <f>SUM(D28:D36)</f>
        <v>392</v>
      </c>
      <c r="E27" s="45">
        <f>SUM(E28:E35)</f>
        <v>385</v>
      </c>
      <c r="F27" s="45">
        <f aca="true" t="shared" si="3" ref="F27:O27">SUM(F28:F36)</f>
        <v>440</v>
      </c>
      <c r="G27" s="45">
        <f t="shared" si="3"/>
        <v>365</v>
      </c>
      <c r="H27" s="45">
        <f t="shared" si="3"/>
        <v>365</v>
      </c>
      <c r="I27" s="45">
        <f t="shared" si="3"/>
        <v>449</v>
      </c>
      <c r="J27" s="45">
        <f t="shared" si="3"/>
        <v>336</v>
      </c>
      <c r="K27" s="45">
        <f t="shared" si="3"/>
        <v>305</v>
      </c>
      <c r="L27" s="45">
        <f t="shared" si="3"/>
        <v>240</v>
      </c>
      <c r="M27" s="45">
        <f t="shared" si="3"/>
        <v>341</v>
      </c>
      <c r="N27" s="45">
        <f t="shared" si="3"/>
        <v>333</v>
      </c>
      <c r="O27" s="45">
        <f t="shared" si="3"/>
        <v>322</v>
      </c>
      <c r="P27" s="23">
        <f t="shared" si="1"/>
        <v>4273</v>
      </c>
    </row>
    <row r="28" spans="1:16" ht="22.5">
      <c r="A28" s="82"/>
      <c r="B28" s="92"/>
      <c r="C28" s="46" t="s">
        <v>43</v>
      </c>
      <c r="D28" s="47">
        <f>9+16+13</f>
        <v>38</v>
      </c>
      <c r="E28" s="47">
        <f>4+20+12</f>
        <v>36</v>
      </c>
      <c r="F28" s="47">
        <v>32</v>
      </c>
      <c r="G28" s="47">
        <f>3+24+10</f>
        <v>37</v>
      </c>
      <c r="H28" s="47">
        <f>3+20+21</f>
        <v>44</v>
      </c>
      <c r="I28" s="47">
        <f>2+34+13</f>
        <v>49</v>
      </c>
      <c r="J28" s="47">
        <f>1+20+11</f>
        <v>32</v>
      </c>
      <c r="K28" s="47">
        <f>18+12</f>
        <v>30</v>
      </c>
      <c r="L28" s="47">
        <v>33</v>
      </c>
      <c r="M28" s="47">
        <f>27+17</f>
        <v>44</v>
      </c>
      <c r="N28" s="47">
        <f>1+22+11</f>
        <v>34</v>
      </c>
      <c r="O28" s="47">
        <f>19+15</f>
        <v>34</v>
      </c>
      <c r="P28" s="48">
        <f t="shared" si="1"/>
        <v>443</v>
      </c>
    </row>
    <row r="29" spans="1:16" ht="33.75">
      <c r="A29" s="82"/>
      <c r="B29" s="92"/>
      <c r="C29" s="31" t="s">
        <v>5</v>
      </c>
      <c r="D29" s="49">
        <f>23+22+24</f>
        <v>69</v>
      </c>
      <c r="E29" s="49">
        <f>50+21+22</f>
        <v>93</v>
      </c>
      <c r="F29" s="49">
        <f>16+50+52</f>
        <v>118</v>
      </c>
      <c r="G29" s="49">
        <f>16+35+27</f>
        <v>78</v>
      </c>
      <c r="H29" s="49">
        <f>36+24+25</f>
        <v>85</v>
      </c>
      <c r="I29" s="49">
        <f>37+47+37</f>
        <v>121</v>
      </c>
      <c r="J29" s="49">
        <f>45+38+17</f>
        <v>100</v>
      </c>
      <c r="K29" s="49">
        <f>21+27+23</f>
        <v>71</v>
      </c>
      <c r="L29" s="49">
        <f>8+36+14</f>
        <v>58</v>
      </c>
      <c r="M29" s="49">
        <f>12+42+30</f>
        <v>84</v>
      </c>
      <c r="N29" s="49">
        <f>33+35+13</f>
        <v>81</v>
      </c>
      <c r="O29" s="49">
        <f>15+26+18</f>
        <v>59</v>
      </c>
      <c r="P29" s="19">
        <f t="shared" si="1"/>
        <v>1017</v>
      </c>
    </row>
    <row r="30" spans="1:16" ht="22.5">
      <c r="A30" s="82"/>
      <c r="B30" s="92"/>
      <c r="C30" s="31" t="s">
        <v>6</v>
      </c>
      <c r="D30" s="49">
        <f>20+28+15</f>
        <v>63</v>
      </c>
      <c r="E30" s="49">
        <f>4+31+22</f>
        <v>57</v>
      </c>
      <c r="F30" s="49">
        <f>6+34+22</f>
        <v>62</v>
      </c>
      <c r="G30" s="49">
        <f>4+28+27</f>
        <v>59</v>
      </c>
      <c r="H30" s="49">
        <f>25+20+23</f>
        <v>68</v>
      </c>
      <c r="I30" s="49">
        <f>10+38+29</f>
        <v>77</v>
      </c>
      <c r="J30" s="49">
        <f>25+16+6</f>
        <v>47</v>
      </c>
      <c r="K30" s="49">
        <f>8+24+10</f>
        <v>42</v>
      </c>
      <c r="L30" s="49">
        <f>22+14</f>
        <v>36</v>
      </c>
      <c r="M30" s="49">
        <f>28+18</f>
        <v>46</v>
      </c>
      <c r="N30" s="49">
        <f>5+20+19</f>
        <v>44</v>
      </c>
      <c r="O30" s="49">
        <f>2+26+15</f>
        <v>43</v>
      </c>
      <c r="P30" s="19">
        <f t="shared" si="1"/>
        <v>644</v>
      </c>
    </row>
    <row r="31" spans="1:16" ht="12.75">
      <c r="A31" s="82"/>
      <c r="B31" s="92"/>
      <c r="C31" s="33" t="s">
        <v>7</v>
      </c>
      <c r="D31" s="49">
        <f>76+27+18</f>
        <v>121</v>
      </c>
      <c r="E31" s="49">
        <f>23+40+26</f>
        <v>89</v>
      </c>
      <c r="F31" s="49">
        <f>26+32+43</f>
        <v>101</v>
      </c>
      <c r="G31" s="49">
        <f>15+41+22</f>
        <v>78</v>
      </c>
      <c r="H31" s="49">
        <f>18+35+24</f>
        <v>77</v>
      </c>
      <c r="I31" s="49">
        <f>36+25</f>
        <v>61</v>
      </c>
      <c r="J31" s="49">
        <f>41+26</f>
        <v>67</v>
      </c>
      <c r="K31" s="49">
        <f>3+35+24</f>
        <v>62</v>
      </c>
      <c r="L31" s="49">
        <v>40</v>
      </c>
      <c r="M31" s="49">
        <f>43+25</f>
        <v>68</v>
      </c>
      <c r="N31" s="49">
        <v>58</v>
      </c>
      <c r="O31" s="49">
        <f>3+51+25</f>
        <v>79</v>
      </c>
      <c r="P31" s="19">
        <f t="shared" si="1"/>
        <v>901</v>
      </c>
    </row>
    <row r="32" spans="1:16" ht="33.75">
      <c r="A32" s="82"/>
      <c r="B32" s="92"/>
      <c r="C32" s="31" t="s">
        <v>45</v>
      </c>
      <c r="D32" s="49">
        <f>13+17</f>
        <v>30</v>
      </c>
      <c r="E32" s="49">
        <f>1+13+24</f>
        <v>38</v>
      </c>
      <c r="F32" s="49">
        <v>32</v>
      </c>
      <c r="G32" s="49">
        <v>24</v>
      </c>
      <c r="H32" s="49">
        <f>11+8+1</f>
        <v>20</v>
      </c>
      <c r="I32" s="49">
        <f>24+9</f>
        <v>33</v>
      </c>
      <c r="J32" s="49">
        <f>9+12</f>
        <v>21</v>
      </c>
      <c r="K32" s="49">
        <f>19+13</f>
        <v>32</v>
      </c>
      <c r="L32" s="49">
        <v>16</v>
      </c>
      <c r="M32" s="49">
        <v>16</v>
      </c>
      <c r="N32" s="49">
        <v>35</v>
      </c>
      <c r="O32" s="49">
        <v>28</v>
      </c>
      <c r="P32" s="19">
        <f t="shared" si="1"/>
        <v>325</v>
      </c>
    </row>
    <row r="33" spans="1:16" ht="33.75">
      <c r="A33" s="82"/>
      <c r="B33" s="92"/>
      <c r="C33" s="31" t="s">
        <v>46</v>
      </c>
      <c r="D33" s="49">
        <f>1+6+9</f>
        <v>16</v>
      </c>
      <c r="E33" s="49">
        <v>21</v>
      </c>
      <c r="F33" s="49">
        <v>25</v>
      </c>
      <c r="G33" s="49">
        <v>25</v>
      </c>
      <c r="H33" s="49">
        <f>11+8</f>
        <v>19</v>
      </c>
      <c r="I33" s="49">
        <f>9+10+7</f>
        <v>26</v>
      </c>
      <c r="J33" s="49">
        <v>9</v>
      </c>
      <c r="K33" s="49">
        <v>18</v>
      </c>
      <c r="L33" s="49">
        <v>11</v>
      </c>
      <c r="M33" s="49">
        <v>27</v>
      </c>
      <c r="N33" s="49">
        <v>12</v>
      </c>
      <c r="O33" s="49">
        <v>15</v>
      </c>
      <c r="P33" s="19">
        <f t="shared" si="1"/>
        <v>224</v>
      </c>
    </row>
    <row r="34" spans="1:16" ht="22.5">
      <c r="A34" s="82"/>
      <c r="B34" s="92"/>
      <c r="C34" s="31" t="s">
        <v>44</v>
      </c>
      <c r="D34" s="49">
        <f>6+3+4</f>
        <v>13</v>
      </c>
      <c r="E34" s="49">
        <v>20</v>
      </c>
      <c r="F34" s="49">
        <v>23</v>
      </c>
      <c r="G34" s="49">
        <v>13</v>
      </c>
      <c r="H34" s="49">
        <v>18</v>
      </c>
      <c r="I34" s="49">
        <f>7+14</f>
        <v>21</v>
      </c>
      <c r="J34" s="49">
        <v>35</v>
      </c>
      <c r="K34" s="49">
        <v>20</v>
      </c>
      <c r="L34" s="49">
        <v>7</v>
      </c>
      <c r="M34" s="49">
        <v>14</v>
      </c>
      <c r="N34" s="49">
        <f>26+17</f>
        <v>43</v>
      </c>
      <c r="O34" s="49">
        <v>28</v>
      </c>
      <c r="P34" s="19">
        <f t="shared" si="1"/>
        <v>255</v>
      </c>
    </row>
    <row r="35" spans="1:16" ht="22.5">
      <c r="A35" s="82"/>
      <c r="B35" s="92"/>
      <c r="C35" s="31" t="s">
        <v>8</v>
      </c>
      <c r="D35" s="49">
        <f>21+10+7</f>
        <v>38</v>
      </c>
      <c r="E35" s="49">
        <v>31</v>
      </c>
      <c r="F35" s="49">
        <v>40</v>
      </c>
      <c r="G35" s="49">
        <f>27+9+7</f>
        <v>43</v>
      </c>
      <c r="H35" s="49">
        <v>26</v>
      </c>
      <c r="I35" s="49">
        <f>21+15+9</f>
        <v>45</v>
      </c>
      <c r="J35" s="49">
        <v>22</v>
      </c>
      <c r="K35" s="49">
        <v>24</v>
      </c>
      <c r="L35" s="49">
        <f>18+7+8</f>
        <v>33</v>
      </c>
      <c r="M35" s="49">
        <f>29+9</f>
        <v>38</v>
      </c>
      <c r="N35" s="49">
        <v>18</v>
      </c>
      <c r="O35" s="49">
        <f>12+7+4</f>
        <v>23</v>
      </c>
      <c r="P35" s="19">
        <f t="shared" si="1"/>
        <v>381</v>
      </c>
    </row>
    <row r="36" spans="1:16" ht="23.25" thickBot="1">
      <c r="A36" s="82"/>
      <c r="B36" s="93"/>
      <c r="C36" s="34" t="s">
        <v>9</v>
      </c>
      <c r="D36" s="50">
        <f>1+2+1</f>
        <v>4</v>
      </c>
      <c r="E36" s="20">
        <v>9</v>
      </c>
      <c r="F36" s="50">
        <v>7</v>
      </c>
      <c r="G36" s="50">
        <v>8</v>
      </c>
      <c r="H36" s="50">
        <v>8</v>
      </c>
      <c r="I36" s="50">
        <v>16</v>
      </c>
      <c r="J36" s="50">
        <v>3</v>
      </c>
      <c r="K36" s="50">
        <v>6</v>
      </c>
      <c r="L36" s="50">
        <v>6</v>
      </c>
      <c r="M36" s="50">
        <v>4</v>
      </c>
      <c r="N36" s="50">
        <v>8</v>
      </c>
      <c r="O36" s="50">
        <v>13</v>
      </c>
      <c r="P36" s="21">
        <f t="shared" si="1"/>
        <v>92</v>
      </c>
    </row>
    <row r="37" spans="1:16" ht="21.75" thickBot="1">
      <c r="A37" s="82"/>
      <c r="B37" s="91" t="s">
        <v>14</v>
      </c>
      <c r="C37" s="22" t="s">
        <v>4</v>
      </c>
      <c r="D37" s="45">
        <f>SUM(D38:D46)</f>
        <v>12</v>
      </c>
      <c r="E37" s="45">
        <f aca="true" t="shared" si="4" ref="E37:O37">SUM(E38:E46)</f>
        <v>11</v>
      </c>
      <c r="F37" s="45">
        <f t="shared" si="4"/>
        <v>12</v>
      </c>
      <c r="G37" s="45">
        <f t="shared" si="4"/>
        <v>13</v>
      </c>
      <c r="H37" s="45">
        <f t="shared" si="4"/>
        <v>11</v>
      </c>
      <c r="I37" s="45">
        <f t="shared" si="4"/>
        <v>22</v>
      </c>
      <c r="J37" s="45">
        <f t="shared" si="4"/>
        <v>10</v>
      </c>
      <c r="K37" s="45">
        <f t="shared" si="4"/>
        <v>22</v>
      </c>
      <c r="L37" s="45">
        <f t="shared" si="4"/>
        <v>7</v>
      </c>
      <c r="M37" s="45">
        <f t="shared" si="4"/>
        <v>10</v>
      </c>
      <c r="N37" s="45">
        <f t="shared" si="4"/>
        <v>11</v>
      </c>
      <c r="O37" s="45">
        <f t="shared" si="4"/>
        <v>15</v>
      </c>
      <c r="P37" s="23">
        <f t="shared" si="1"/>
        <v>156</v>
      </c>
    </row>
    <row r="38" spans="1:16" ht="22.5">
      <c r="A38" s="82"/>
      <c r="B38" s="94"/>
      <c r="C38" s="46" t="s">
        <v>43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75">
        <f t="shared" si="1"/>
        <v>0</v>
      </c>
    </row>
    <row r="39" spans="1:16" ht="33.75">
      <c r="A39" s="82"/>
      <c r="B39" s="94"/>
      <c r="C39" s="31" t="s">
        <v>5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14</v>
      </c>
      <c r="L39" s="52">
        <v>0</v>
      </c>
      <c r="M39" s="52">
        <v>0</v>
      </c>
      <c r="N39" s="52">
        <v>0</v>
      </c>
      <c r="O39" s="52">
        <v>0</v>
      </c>
      <c r="P39" s="76">
        <f t="shared" si="1"/>
        <v>14</v>
      </c>
    </row>
    <row r="40" spans="1:16" ht="22.5">
      <c r="A40" s="82"/>
      <c r="B40" s="94"/>
      <c r="C40" s="31" t="s">
        <v>6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76">
        <f t="shared" si="1"/>
        <v>0</v>
      </c>
    </row>
    <row r="41" spans="1:16" ht="12.75">
      <c r="A41" s="82"/>
      <c r="B41" s="94"/>
      <c r="C41" s="33" t="s">
        <v>7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76">
        <f t="shared" si="1"/>
        <v>0</v>
      </c>
    </row>
    <row r="42" spans="1:16" ht="33.75">
      <c r="A42" s="82"/>
      <c r="B42" s="94"/>
      <c r="C42" s="31" t="s">
        <v>45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76">
        <f t="shared" si="1"/>
        <v>0</v>
      </c>
    </row>
    <row r="43" spans="1:16" ht="33.75">
      <c r="A43" s="82"/>
      <c r="B43" s="94"/>
      <c r="C43" s="31" t="s">
        <v>46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76">
        <f t="shared" si="1"/>
        <v>0</v>
      </c>
    </row>
    <row r="44" spans="1:16" ht="22.5">
      <c r="A44" s="82"/>
      <c r="B44" s="94"/>
      <c r="C44" s="31" t="s">
        <v>44</v>
      </c>
      <c r="D44" s="52">
        <v>0</v>
      </c>
      <c r="E44" s="52">
        <v>0</v>
      </c>
      <c r="F44" s="52">
        <v>1</v>
      </c>
      <c r="G44" s="52">
        <v>4</v>
      </c>
      <c r="H44" s="52">
        <v>3</v>
      </c>
      <c r="I44" s="52">
        <v>2</v>
      </c>
      <c r="J44" s="52">
        <v>1</v>
      </c>
      <c r="K44" s="52">
        <v>2</v>
      </c>
      <c r="L44" s="52">
        <v>2</v>
      </c>
      <c r="M44" s="52">
        <v>0</v>
      </c>
      <c r="N44" s="52">
        <v>3</v>
      </c>
      <c r="O44" s="52">
        <v>0</v>
      </c>
      <c r="P44" s="76">
        <f t="shared" si="1"/>
        <v>18</v>
      </c>
    </row>
    <row r="45" spans="1:16" ht="22.5">
      <c r="A45" s="82"/>
      <c r="B45" s="94"/>
      <c r="C45" s="31" t="s">
        <v>8</v>
      </c>
      <c r="D45" s="52">
        <v>12</v>
      </c>
      <c r="E45" s="52">
        <v>11</v>
      </c>
      <c r="F45" s="52">
        <v>11</v>
      </c>
      <c r="G45" s="52">
        <v>9</v>
      </c>
      <c r="H45" s="52">
        <v>8</v>
      </c>
      <c r="I45" s="52">
        <v>20</v>
      </c>
      <c r="J45" s="52">
        <v>9</v>
      </c>
      <c r="K45" s="52">
        <v>6</v>
      </c>
      <c r="L45" s="52">
        <v>5</v>
      </c>
      <c r="M45" s="52">
        <v>10</v>
      </c>
      <c r="N45" s="52">
        <v>8</v>
      </c>
      <c r="O45" s="52">
        <v>15</v>
      </c>
      <c r="P45" s="76">
        <f t="shared" si="1"/>
        <v>124</v>
      </c>
    </row>
    <row r="46" spans="1:16" ht="23.25" thickBot="1">
      <c r="A46" s="83"/>
      <c r="B46" s="95"/>
      <c r="C46" s="34" t="s">
        <v>9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77">
        <f t="shared" si="1"/>
        <v>0</v>
      </c>
    </row>
    <row r="49" ht="12.75" customHeight="1"/>
  </sheetData>
  <sheetProtection/>
  <mergeCells count="5">
    <mergeCell ref="A7:A46"/>
    <mergeCell ref="D5:P5"/>
    <mergeCell ref="B27:B36"/>
    <mergeCell ref="B37:B46"/>
    <mergeCell ref="B7:B26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3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.00390625" style="54" customWidth="1"/>
    <col min="2" max="2" width="8.28125" style="54" customWidth="1"/>
    <col min="3" max="3" width="14.140625" style="54" customWidth="1"/>
    <col min="4" max="6" width="5.7109375" style="54" bestFit="1" customWidth="1"/>
    <col min="7" max="7" width="6.00390625" style="54" bestFit="1" customWidth="1"/>
    <col min="8" max="8" width="5.7109375" style="54" bestFit="1" customWidth="1"/>
    <col min="9" max="9" width="6.00390625" style="54" bestFit="1" customWidth="1"/>
    <col min="10" max="12" width="5.7109375" style="54" bestFit="1" customWidth="1"/>
    <col min="13" max="15" width="6.00390625" style="54" bestFit="1" customWidth="1"/>
    <col min="16" max="16" width="6.8515625" style="54" bestFit="1" customWidth="1"/>
    <col min="17" max="16384" width="9.140625" style="54" customWidth="1"/>
  </cols>
  <sheetData>
    <row r="1" spans="1:8" ht="18.75">
      <c r="A1" s="3" t="s">
        <v>54</v>
      </c>
      <c r="B1" s="2"/>
      <c r="C1" s="13"/>
      <c r="D1" s="2"/>
      <c r="E1" s="2"/>
      <c r="F1" s="2"/>
      <c r="G1" s="2"/>
      <c r="H1" s="2"/>
    </row>
    <row r="2" spans="1:8" ht="12.75">
      <c r="A2" s="9" t="s">
        <v>1</v>
      </c>
      <c r="B2" s="1"/>
      <c r="C2" s="15"/>
      <c r="D2" s="1"/>
      <c r="E2" s="1"/>
      <c r="F2" s="1"/>
      <c r="G2" s="1"/>
      <c r="H2" s="1"/>
    </row>
    <row r="3" ht="12.75">
      <c r="A3" s="2" t="s">
        <v>0</v>
      </c>
    </row>
    <row r="4" ht="13.5" thickBot="1"/>
    <row r="5" spans="1:16" ht="13.5" thickBot="1">
      <c r="A5" s="1"/>
      <c r="B5" s="1"/>
      <c r="C5" s="15"/>
      <c r="D5" s="84">
        <v>2010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84" thickBot="1">
      <c r="A6" s="1"/>
      <c r="B6" s="1"/>
      <c r="C6" s="15"/>
      <c r="D6" s="18" t="s">
        <v>26</v>
      </c>
      <c r="E6" s="18" t="s">
        <v>27</v>
      </c>
      <c r="F6" s="18" t="s">
        <v>28</v>
      </c>
      <c r="G6" s="18" t="s">
        <v>34</v>
      </c>
      <c r="H6" s="18" t="s">
        <v>35</v>
      </c>
      <c r="I6" s="18" t="s">
        <v>36</v>
      </c>
      <c r="J6" s="18" t="s">
        <v>37</v>
      </c>
      <c r="K6" s="18" t="s">
        <v>38</v>
      </c>
      <c r="L6" s="18" t="s">
        <v>39</v>
      </c>
      <c r="M6" s="18" t="s">
        <v>40</v>
      </c>
      <c r="N6" s="18" t="s">
        <v>41</v>
      </c>
      <c r="O6" s="18" t="s">
        <v>42</v>
      </c>
      <c r="P6" s="18" t="s">
        <v>56</v>
      </c>
    </row>
    <row r="7" spans="1:16" ht="21.75" customHeight="1" thickBot="1">
      <c r="A7" s="81" t="s">
        <v>47</v>
      </c>
      <c r="B7" s="99" t="s">
        <v>53</v>
      </c>
      <c r="C7" s="55" t="s">
        <v>4</v>
      </c>
      <c r="D7" s="56">
        <f>SUM(D8:D16)</f>
        <v>18573</v>
      </c>
      <c r="E7" s="56">
        <f aca="true" t="shared" si="0" ref="E7:O7">SUM(E8:E16)</f>
        <v>20006</v>
      </c>
      <c r="F7" s="56">
        <f t="shared" si="0"/>
        <v>25461</v>
      </c>
      <c r="G7" s="56">
        <f t="shared" si="0"/>
        <v>23753</v>
      </c>
      <c r="H7" s="56">
        <f t="shared" si="0"/>
        <v>21746</v>
      </c>
      <c r="I7" s="56">
        <f t="shared" si="0"/>
        <v>24215</v>
      </c>
      <c r="J7" s="56">
        <f t="shared" si="0"/>
        <v>22265</v>
      </c>
      <c r="K7" s="56">
        <f t="shared" si="0"/>
        <v>21949</v>
      </c>
      <c r="L7" s="56">
        <f t="shared" si="0"/>
        <v>21893</v>
      </c>
      <c r="M7" s="56">
        <f t="shared" si="0"/>
        <v>23466</v>
      </c>
      <c r="N7" s="56">
        <f t="shared" si="0"/>
        <v>18922</v>
      </c>
      <c r="O7" s="56">
        <f t="shared" si="0"/>
        <v>27072</v>
      </c>
      <c r="P7" s="57">
        <f>SUM(D7:O7)</f>
        <v>269321</v>
      </c>
    </row>
    <row r="8" spans="1:16" ht="23.25" thickBot="1">
      <c r="A8" s="82"/>
      <c r="B8" s="99"/>
      <c r="C8" s="37" t="s">
        <v>43</v>
      </c>
      <c r="D8" s="47">
        <v>1603</v>
      </c>
      <c r="E8" s="47">
        <v>2135</v>
      </c>
      <c r="F8" s="47">
        <v>2306</v>
      </c>
      <c r="G8" s="47">
        <v>2474</v>
      </c>
      <c r="H8" s="47">
        <v>2376</v>
      </c>
      <c r="I8" s="47">
        <v>2606</v>
      </c>
      <c r="J8" s="47">
        <v>2165</v>
      </c>
      <c r="K8" s="47">
        <v>2020</v>
      </c>
      <c r="L8" s="47">
        <v>1750</v>
      </c>
      <c r="M8" s="47">
        <v>2183</v>
      </c>
      <c r="N8" s="47">
        <v>1411</v>
      </c>
      <c r="O8" s="47">
        <v>2788</v>
      </c>
      <c r="P8" s="48">
        <f aca="true" t="shared" si="1" ref="P8:P36">SUM(D8:O8)</f>
        <v>25817</v>
      </c>
    </row>
    <row r="9" spans="1:16" ht="34.5" thickBot="1">
      <c r="A9" s="82"/>
      <c r="B9" s="99"/>
      <c r="C9" s="40" t="s">
        <v>5</v>
      </c>
      <c r="D9" s="49">
        <v>4115</v>
      </c>
      <c r="E9" s="49">
        <v>4304</v>
      </c>
      <c r="F9" s="49">
        <v>5623</v>
      </c>
      <c r="G9" s="49">
        <v>6572</v>
      </c>
      <c r="H9" s="49">
        <v>5195</v>
      </c>
      <c r="I9" s="49">
        <v>5456</v>
      </c>
      <c r="J9" s="49">
        <v>5244</v>
      </c>
      <c r="K9" s="49">
        <v>4487</v>
      </c>
      <c r="L9" s="49">
        <v>4181</v>
      </c>
      <c r="M9" s="49">
        <v>4598</v>
      </c>
      <c r="N9" s="49">
        <v>4170</v>
      </c>
      <c r="O9" s="49">
        <v>5684</v>
      </c>
      <c r="P9" s="19">
        <f t="shared" si="1"/>
        <v>59629</v>
      </c>
    </row>
    <row r="10" spans="1:16" ht="23.25" thickBot="1">
      <c r="A10" s="82"/>
      <c r="B10" s="99"/>
      <c r="C10" s="40" t="s">
        <v>6</v>
      </c>
      <c r="D10" s="49">
        <v>2468</v>
      </c>
      <c r="E10" s="49">
        <v>2893</v>
      </c>
      <c r="F10" s="49">
        <v>3288</v>
      </c>
      <c r="G10" s="49">
        <v>3033</v>
      </c>
      <c r="H10" s="49">
        <v>2813</v>
      </c>
      <c r="I10" s="49">
        <v>2969</v>
      </c>
      <c r="J10" s="49">
        <v>2820</v>
      </c>
      <c r="K10" s="49">
        <v>2642</v>
      </c>
      <c r="L10" s="49">
        <v>2351</v>
      </c>
      <c r="M10" s="49">
        <v>3121</v>
      </c>
      <c r="N10" s="49">
        <v>2460</v>
      </c>
      <c r="O10" s="49">
        <v>2895</v>
      </c>
      <c r="P10" s="19">
        <f t="shared" si="1"/>
        <v>33753</v>
      </c>
    </row>
    <row r="11" spans="1:16" ht="13.5" thickBot="1">
      <c r="A11" s="82"/>
      <c r="B11" s="99"/>
      <c r="C11" s="41" t="s">
        <v>7</v>
      </c>
      <c r="D11" s="49">
        <v>2750</v>
      </c>
      <c r="E11" s="49">
        <v>2795</v>
      </c>
      <c r="F11" s="49">
        <v>3320</v>
      </c>
      <c r="G11" s="49">
        <v>2924</v>
      </c>
      <c r="H11" s="49">
        <v>3228</v>
      </c>
      <c r="I11" s="49">
        <v>3600</v>
      </c>
      <c r="J11" s="49">
        <v>3090</v>
      </c>
      <c r="K11" s="49">
        <v>3278</v>
      </c>
      <c r="L11" s="49">
        <v>4538</v>
      </c>
      <c r="M11" s="49">
        <v>3687</v>
      </c>
      <c r="N11" s="49">
        <v>2491</v>
      </c>
      <c r="O11" s="49">
        <v>4629</v>
      </c>
      <c r="P11" s="19">
        <f t="shared" si="1"/>
        <v>40330</v>
      </c>
    </row>
    <row r="12" spans="1:16" ht="34.5" thickBot="1">
      <c r="A12" s="82"/>
      <c r="B12" s="99"/>
      <c r="C12" s="40" t="s">
        <v>45</v>
      </c>
      <c r="D12" s="49">
        <v>1441</v>
      </c>
      <c r="E12" s="49">
        <v>1584</v>
      </c>
      <c r="F12" s="49">
        <v>1856</v>
      </c>
      <c r="G12" s="49">
        <v>1522</v>
      </c>
      <c r="H12" s="49">
        <v>1764</v>
      </c>
      <c r="I12" s="49">
        <v>1839</v>
      </c>
      <c r="J12" s="49">
        <v>1924</v>
      </c>
      <c r="K12" s="49">
        <v>1650</v>
      </c>
      <c r="L12" s="49">
        <v>1464</v>
      </c>
      <c r="M12" s="49">
        <v>1760</v>
      </c>
      <c r="N12" s="49">
        <v>1578</v>
      </c>
      <c r="O12" s="49">
        <v>1933</v>
      </c>
      <c r="P12" s="19">
        <f t="shared" si="1"/>
        <v>20315</v>
      </c>
    </row>
    <row r="13" spans="1:16" ht="34.5" thickBot="1">
      <c r="A13" s="82"/>
      <c r="B13" s="99"/>
      <c r="C13" s="40" t="s">
        <v>46</v>
      </c>
      <c r="D13" s="49">
        <v>1681</v>
      </c>
      <c r="E13" s="49">
        <v>1736</v>
      </c>
      <c r="F13" s="49">
        <v>2683</v>
      </c>
      <c r="G13" s="49">
        <v>2031</v>
      </c>
      <c r="H13" s="49">
        <v>1827</v>
      </c>
      <c r="I13" s="49">
        <v>2480</v>
      </c>
      <c r="J13" s="49">
        <v>1894</v>
      </c>
      <c r="K13" s="49">
        <v>2294</v>
      </c>
      <c r="L13" s="49">
        <v>2181</v>
      </c>
      <c r="M13" s="49">
        <v>2357</v>
      </c>
      <c r="N13" s="49">
        <v>1968</v>
      </c>
      <c r="O13" s="49">
        <v>2465</v>
      </c>
      <c r="P13" s="19">
        <f t="shared" si="1"/>
        <v>25597</v>
      </c>
    </row>
    <row r="14" spans="1:16" ht="23.25" thickBot="1">
      <c r="A14" s="82"/>
      <c r="B14" s="99"/>
      <c r="C14" s="40" t="s">
        <v>44</v>
      </c>
      <c r="D14" s="49">
        <v>2102</v>
      </c>
      <c r="E14" s="49">
        <v>1832</v>
      </c>
      <c r="F14" s="49">
        <v>2255</v>
      </c>
      <c r="G14" s="49">
        <v>1910</v>
      </c>
      <c r="H14" s="49">
        <v>1781</v>
      </c>
      <c r="I14" s="49">
        <v>2059</v>
      </c>
      <c r="J14" s="49">
        <v>2128</v>
      </c>
      <c r="K14" s="49">
        <v>2260</v>
      </c>
      <c r="L14" s="49">
        <v>2295</v>
      </c>
      <c r="M14" s="49">
        <v>2277</v>
      </c>
      <c r="N14" s="49">
        <v>2399</v>
      </c>
      <c r="O14" s="49">
        <v>3126</v>
      </c>
      <c r="P14" s="19">
        <f t="shared" si="1"/>
        <v>26424</v>
      </c>
    </row>
    <row r="15" spans="1:16" ht="23.25" thickBot="1">
      <c r="A15" s="82"/>
      <c r="B15" s="99"/>
      <c r="C15" s="40" t="s">
        <v>8</v>
      </c>
      <c r="D15" s="49">
        <v>1453</v>
      </c>
      <c r="E15" s="49">
        <v>1726</v>
      </c>
      <c r="F15" s="49">
        <v>2403</v>
      </c>
      <c r="G15" s="49">
        <v>1982</v>
      </c>
      <c r="H15" s="49">
        <v>1684</v>
      </c>
      <c r="I15" s="49">
        <v>1983</v>
      </c>
      <c r="J15" s="49">
        <v>1781</v>
      </c>
      <c r="K15" s="49">
        <v>1961</v>
      </c>
      <c r="L15" s="49">
        <v>2001</v>
      </c>
      <c r="M15" s="49">
        <v>2120</v>
      </c>
      <c r="N15" s="49">
        <v>1433</v>
      </c>
      <c r="O15" s="49">
        <v>2263</v>
      </c>
      <c r="P15" s="19">
        <f t="shared" si="1"/>
        <v>22790</v>
      </c>
    </row>
    <row r="16" spans="1:16" ht="23.25" thickBot="1">
      <c r="A16" s="82"/>
      <c r="B16" s="99"/>
      <c r="C16" s="42" t="s">
        <v>9</v>
      </c>
      <c r="D16" s="50">
        <v>960</v>
      </c>
      <c r="E16" s="50">
        <v>1001</v>
      </c>
      <c r="F16" s="50">
        <v>1727</v>
      </c>
      <c r="G16" s="50">
        <v>1305</v>
      </c>
      <c r="H16" s="50">
        <v>1078</v>
      </c>
      <c r="I16" s="50">
        <v>1223</v>
      </c>
      <c r="J16" s="50">
        <v>1219</v>
      </c>
      <c r="K16" s="50">
        <v>1357</v>
      </c>
      <c r="L16" s="50">
        <v>1132</v>
      </c>
      <c r="M16" s="50">
        <v>1363</v>
      </c>
      <c r="N16" s="50">
        <v>1012</v>
      </c>
      <c r="O16" s="50">
        <v>1289</v>
      </c>
      <c r="P16" s="21">
        <f t="shared" si="1"/>
        <v>14666</v>
      </c>
    </row>
    <row r="17" spans="1:16" ht="21.75" thickBot="1">
      <c r="A17" s="82"/>
      <c r="B17" s="100" t="s">
        <v>15</v>
      </c>
      <c r="C17" s="16" t="s">
        <v>4</v>
      </c>
      <c r="D17" s="58">
        <f>SUM(D18:D26)</f>
        <v>13108</v>
      </c>
      <c r="E17" s="58">
        <f aca="true" t="shared" si="2" ref="E17:O17">SUM(E18:E26)</f>
        <v>14241</v>
      </c>
      <c r="F17" s="58">
        <f t="shared" si="2"/>
        <v>19314</v>
      </c>
      <c r="G17" s="58">
        <f t="shared" si="2"/>
        <v>15862</v>
      </c>
      <c r="H17" s="58">
        <f t="shared" si="2"/>
        <v>15584</v>
      </c>
      <c r="I17" s="58">
        <f t="shared" si="2"/>
        <v>17056</v>
      </c>
      <c r="J17" s="58">
        <f t="shared" si="2"/>
        <v>16622</v>
      </c>
      <c r="K17" s="58">
        <f t="shared" si="2"/>
        <v>15795</v>
      </c>
      <c r="L17" s="58">
        <f t="shared" si="2"/>
        <v>14056</v>
      </c>
      <c r="M17" s="58">
        <f t="shared" si="2"/>
        <v>16222</v>
      </c>
      <c r="N17" s="58">
        <f t="shared" si="2"/>
        <v>13635</v>
      </c>
      <c r="O17" s="58">
        <f t="shared" si="2"/>
        <v>18927</v>
      </c>
      <c r="P17" s="59">
        <f t="shared" si="1"/>
        <v>190422</v>
      </c>
    </row>
    <row r="18" spans="1:16" ht="23.25" thickBot="1">
      <c r="A18" s="82"/>
      <c r="B18" s="100"/>
      <c r="C18" s="37" t="s">
        <v>43</v>
      </c>
      <c r="D18" s="47">
        <v>1218</v>
      </c>
      <c r="E18" s="47">
        <v>1303</v>
      </c>
      <c r="F18" s="47">
        <v>1730</v>
      </c>
      <c r="G18" s="47">
        <v>1574</v>
      </c>
      <c r="H18" s="47">
        <v>1719</v>
      </c>
      <c r="I18" s="47">
        <v>1661</v>
      </c>
      <c r="J18" s="47">
        <v>1576</v>
      </c>
      <c r="K18" s="47">
        <v>1378</v>
      </c>
      <c r="L18" s="47">
        <v>1221</v>
      </c>
      <c r="M18" s="47">
        <v>1481</v>
      </c>
      <c r="N18" s="47">
        <v>1197</v>
      </c>
      <c r="O18" s="47">
        <v>2070</v>
      </c>
      <c r="P18" s="48">
        <f t="shared" si="1"/>
        <v>18128</v>
      </c>
    </row>
    <row r="19" spans="1:16" ht="36" customHeight="1" thickBot="1">
      <c r="A19" s="82"/>
      <c r="B19" s="100"/>
      <c r="C19" s="40" t="s">
        <v>5</v>
      </c>
      <c r="D19" s="49">
        <v>3155</v>
      </c>
      <c r="E19" s="49">
        <v>3634</v>
      </c>
      <c r="F19" s="49">
        <v>4511</v>
      </c>
      <c r="G19" s="49">
        <v>4041</v>
      </c>
      <c r="H19" s="49">
        <v>4114</v>
      </c>
      <c r="I19" s="49">
        <v>4440</v>
      </c>
      <c r="J19" s="49">
        <v>4097</v>
      </c>
      <c r="K19" s="49">
        <v>3890</v>
      </c>
      <c r="L19" s="49">
        <v>3279</v>
      </c>
      <c r="M19" s="49">
        <v>3871</v>
      </c>
      <c r="N19" s="49">
        <v>3414</v>
      </c>
      <c r="O19" s="49">
        <v>4610</v>
      </c>
      <c r="P19" s="19">
        <f t="shared" si="1"/>
        <v>47056</v>
      </c>
    </row>
    <row r="20" spans="1:16" ht="23.25" thickBot="1">
      <c r="A20" s="82"/>
      <c r="B20" s="100"/>
      <c r="C20" s="40" t="s">
        <v>6</v>
      </c>
      <c r="D20" s="49">
        <v>1727</v>
      </c>
      <c r="E20" s="49">
        <v>1881</v>
      </c>
      <c r="F20" s="49">
        <v>2737</v>
      </c>
      <c r="G20" s="49">
        <v>1941</v>
      </c>
      <c r="H20" s="49">
        <v>2065</v>
      </c>
      <c r="I20" s="49">
        <v>2111</v>
      </c>
      <c r="J20" s="49">
        <v>2015</v>
      </c>
      <c r="K20" s="49">
        <v>2049</v>
      </c>
      <c r="L20" s="49">
        <v>1747</v>
      </c>
      <c r="M20" s="49">
        <v>2017</v>
      </c>
      <c r="N20" s="49">
        <v>1617</v>
      </c>
      <c r="O20" s="49">
        <v>2202</v>
      </c>
      <c r="P20" s="19">
        <f t="shared" si="1"/>
        <v>24109</v>
      </c>
    </row>
    <row r="21" spans="1:16" ht="13.5" thickBot="1">
      <c r="A21" s="82"/>
      <c r="B21" s="100"/>
      <c r="C21" s="41" t="s">
        <v>7</v>
      </c>
      <c r="D21" s="49">
        <v>2125</v>
      </c>
      <c r="E21" s="49">
        <v>2081</v>
      </c>
      <c r="F21" s="49">
        <v>3200</v>
      </c>
      <c r="G21" s="49">
        <v>2425</v>
      </c>
      <c r="H21" s="49">
        <v>2239</v>
      </c>
      <c r="I21" s="49">
        <v>2447</v>
      </c>
      <c r="J21" s="49">
        <v>2408</v>
      </c>
      <c r="K21" s="49">
        <v>2238</v>
      </c>
      <c r="L21" s="49">
        <v>2162</v>
      </c>
      <c r="M21" s="49">
        <v>2199</v>
      </c>
      <c r="N21" s="49">
        <v>1894</v>
      </c>
      <c r="O21" s="49">
        <v>2895</v>
      </c>
      <c r="P21" s="19">
        <f t="shared" si="1"/>
        <v>28313</v>
      </c>
    </row>
    <row r="22" spans="1:16" ht="34.5" thickBot="1">
      <c r="A22" s="82"/>
      <c r="B22" s="100"/>
      <c r="C22" s="40" t="s">
        <v>45</v>
      </c>
      <c r="D22" s="49">
        <v>1101</v>
      </c>
      <c r="E22" s="49">
        <v>1215</v>
      </c>
      <c r="F22" s="49">
        <v>1475</v>
      </c>
      <c r="G22" s="49">
        <v>1222</v>
      </c>
      <c r="H22" s="49">
        <v>1277</v>
      </c>
      <c r="I22" s="49">
        <v>1443</v>
      </c>
      <c r="J22" s="49">
        <v>1340</v>
      </c>
      <c r="K22" s="49">
        <v>1271</v>
      </c>
      <c r="L22" s="49">
        <v>1043</v>
      </c>
      <c r="M22" s="49">
        <v>1443</v>
      </c>
      <c r="N22" s="49">
        <v>1177</v>
      </c>
      <c r="O22" s="49">
        <v>1516</v>
      </c>
      <c r="P22" s="19">
        <f t="shared" si="1"/>
        <v>15523</v>
      </c>
    </row>
    <row r="23" spans="1:16" ht="34.5" thickBot="1">
      <c r="A23" s="82"/>
      <c r="B23" s="100"/>
      <c r="C23" s="40" t="s">
        <v>46</v>
      </c>
      <c r="D23" s="49">
        <v>1015</v>
      </c>
      <c r="E23" s="49">
        <v>1090</v>
      </c>
      <c r="F23" s="49">
        <v>1457</v>
      </c>
      <c r="G23" s="49">
        <v>1202</v>
      </c>
      <c r="H23" s="49">
        <v>1166</v>
      </c>
      <c r="I23" s="49">
        <v>1212</v>
      </c>
      <c r="J23" s="49">
        <v>1150</v>
      </c>
      <c r="K23" s="49">
        <v>1272</v>
      </c>
      <c r="L23" s="49">
        <v>1167</v>
      </c>
      <c r="M23" s="49">
        <v>1432</v>
      </c>
      <c r="N23" s="49">
        <v>1177</v>
      </c>
      <c r="O23" s="49">
        <v>1303</v>
      </c>
      <c r="P23" s="19">
        <f t="shared" si="1"/>
        <v>14643</v>
      </c>
    </row>
    <row r="24" spans="1:16" ht="23.25" thickBot="1">
      <c r="A24" s="82"/>
      <c r="B24" s="100"/>
      <c r="C24" s="40" t="s">
        <v>44</v>
      </c>
      <c r="D24" s="49">
        <v>1071</v>
      </c>
      <c r="E24" s="49">
        <v>1160</v>
      </c>
      <c r="F24" s="49">
        <v>1853</v>
      </c>
      <c r="G24" s="49">
        <v>1203</v>
      </c>
      <c r="H24" s="49">
        <v>1024</v>
      </c>
      <c r="I24" s="49">
        <v>1314</v>
      </c>
      <c r="J24" s="49">
        <v>1784</v>
      </c>
      <c r="K24" s="49">
        <v>1287</v>
      </c>
      <c r="L24" s="49">
        <v>1195</v>
      </c>
      <c r="M24" s="49">
        <v>1370</v>
      </c>
      <c r="N24" s="49">
        <v>1199</v>
      </c>
      <c r="O24" s="49">
        <v>1465</v>
      </c>
      <c r="P24" s="19">
        <f t="shared" si="1"/>
        <v>15925</v>
      </c>
    </row>
    <row r="25" spans="1:16" ht="23.25" thickBot="1">
      <c r="A25" s="82"/>
      <c r="B25" s="100"/>
      <c r="C25" s="40" t="s">
        <v>8</v>
      </c>
      <c r="D25" s="49">
        <v>1035</v>
      </c>
      <c r="E25" s="49">
        <v>1154</v>
      </c>
      <c r="F25" s="49">
        <v>1480</v>
      </c>
      <c r="G25" s="49">
        <v>1272</v>
      </c>
      <c r="H25" s="49">
        <v>1186</v>
      </c>
      <c r="I25" s="49">
        <v>1466</v>
      </c>
      <c r="J25" s="49">
        <v>1330</v>
      </c>
      <c r="K25" s="49">
        <v>1395</v>
      </c>
      <c r="L25" s="49">
        <v>1350</v>
      </c>
      <c r="M25" s="49">
        <v>1329</v>
      </c>
      <c r="N25" s="49">
        <v>1104</v>
      </c>
      <c r="O25" s="49">
        <v>1749</v>
      </c>
      <c r="P25" s="19">
        <f t="shared" si="1"/>
        <v>15850</v>
      </c>
    </row>
    <row r="26" spans="1:16" ht="23.25" thickBot="1">
      <c r="A26" s="82"/>
      <c r="B26" s="100"/>
      <c r="C26" s="42" t="s">
        <v>9</v>
      </c>
      <c r="D26" s="50">
        <v>661</v>
      </c>
      <c r="E26" s="50">
        <v>723</v>
      </c>
      <c r="F26" s="50">
        <v>871</v>
      </c>
      <c r="G26" s="50">
        <v>982</v>
      </c>
      <c r="H26" s="50">
        <v>794</v>
      </c>
      <c r="I26" s="50">
        <v>962</v>
      </c>
      <c r="J26" s="50">
        <v>922</v>
      </c>
      <c r="K26" s="50">
        <v>1015</v>
      </c>
      <c r="L26" s="50">
        <v>892</v>
      </c>
      <c r="M26" s="50">
        <v>1080</v>
      </c>
      <c r="N26" s="50">
        <v>856</v>
      </c>
      <c r="O26" s="50">
        <v>1117</v>
      </c>
      <c r="P26" s="21">
        <f t="shared" si="1"/>
        <v>10875</v>
      </c>
    </row>
    <row r="27" spans="1:16" ht="21.75" thickBot="1">
      <c r="A27" s="82"/>
      <c r="B27" s="100" t="s">
        <v>55</v>
      </c>
      <c r="C27" s="16" t="s">
        <v>4</v>
      </c>
      <c r="D27" s="58">
        <f>SUM(D28:D36)</f>
        <v>647</v>
      </c>
      <c r="E27" s="58">
        <f aca="true" t="shared" si="3" ref="E27:O27">SUM(E28:E36)</f>
        <v>478</v>
      </c>
      <c r="F27" s="58">
        <f t="shared" si="3"/>
        <v>658</v>
      </c>
      <c r="G27" s="58">
        <f t="shared" si="3"/>
        <v>799</v>
      </c>
      <c r="H27" s="58">
        <f t="shared" si="3"/>
        <v>639</v>
      </c>
      <c r="I27" s="58">
        <f t="shared" si="3"/>
        <v>752</v>
      </c>
      <c r="J27" s="58">
        <f t="shared" si="3"/>
        <v>719</v>
      </c>
      <c r="K27" s="58">
        <f t="shared" si="3"/>
        <v>791</v>
      </c>
      <c r="L27" s="58">
        <f t="shared" si="3"/>
        <v>711</v>
      </c>
      <c r="M27" s="58">
        <f t="shared" si="3"/>
        <v>685</v>
      </c>
      <c r="N27" s="58">
        <f t="shared" si="3"/>
        <v>783</v>
      </c>
      <c r="O27" s="58">
        <f t="shared" si="3"/>
        <v>825</v>
      </c>
      <c r="P27" s="59">
        <f t="shared" si="1"/>
        <v>8487</v>
      </c>
    </row>
    <row r="28" spans="1:16" ht="23.25" thickBot="1">
      <c r="A28" s="82"/>
      <c r="B28" s="100"/>
      <c r="C28" s="37" t="s">
        <v>43</v>
      </c>
      <c r="D28" s="47">
        <v>40</v>
      </c>
      <c r="E28" s="47">
        <v>28</v>
      </c>
      <c r="F28" s="47">
        <v>37</v>
      </c>
      <c r="G28" s="47">
        <v>42</v>
      </c>
      <c r="H28" s="47">
        <v>20</v>
      </c>
      <c r="I28" s="47">
        <v>53</v>
      </c>
      <c r="J28" s="47">
        <v>25</v>
      </c>
      <c r="K28" s="47">
        <v>35</v>
      </c>
      <c r="L28" s="47">
        <v>28</v>
      </c>
      <c r="M28" s="47">
        <v>29</v>
      </c>
      <c r="N28" s="47">
        <v>21</v>
      </c>
      <c r="O28" s="47">
        <v>27</v>
      </c>
      <c r="P28" s="48">
        <f t="shared" si="1"/>
        <v>385</v>
      </c>
    </row>
    <row r="29" spans="1:16" ht="34.5" thickBot="1">
      <c r="A29" s="82"/>
      <c r="B29" s="100"/>
      <c r="C29" s="40" t="s">
        <v>5</v>
      </c>
      <c r="D29" s="49">
        <v>187</v>
      </c>
      <c r="E29" s="49">
        <v>105</v>
      </c>
      <c r="F29" s="49">
        <v>206</v>
      </c>
      <c r="G29" s="49">
        <v>193</v>
      </c>
      <c r="H29" s="49">
        <v>94</v>
      </c>
      <c r="I29" s="49">
        <v>180</v>
      </c>
      <c r="J29" s="49">
        <v>144</v>
      </c>
      <c r="K29" s="49">
        <v>226</v>
      </c>
      <c r="L29" s="49">
        <v>131</v>
      </c>
      <c r="M29" s="49">
        <v>108</v>
      </c>
      <c r="N29" s="49">
        <v>213</v>
      </c>
      <c r="O29" s="49">
        <v>184</v>
      </c>
      <c r="P29" s="19">
        <f t="shared" si="1"/>
        <v>1971</v>
      </c>
    </row>
    <row r="30" spans="1:16" ht="23.25" thickBot="1">
      <c r="A30" s="82"/>
      <c r="B30" s="100"/>
      <c r="C30" s="40" t="s">
        <v>6</v>
      </c>
      <c r="D30" s="49">
        <v>93</v>
      </c>
      <c r="E30" s="49">
        <v>50</v>
      </c>
      <c r="F30" s="49">
        <v>94</v>
      </c>
      <c r="G30" s="49">
        <v>122</v>
      </c>
      <c r="H30" s="49">
        <v>83</v>
      </c>
      <c r="I30" s="49">
        <v>73</v>
      </c>
      <c r="J30" s="49">
        <v>102</v>
      </c>
      <c r="K30" s="49">
        <v>80</v>
      </c>
      <c r="L30" s="49">
        <v>86</v>
      </c>
      <c r="M30" s="49">
        <v>110</v>
      </c>
      <c r="N30" s="49">
        <v>100</v>
      </c>
      <c r="O30" s="49">
        <v>106</v>
      </c>
      <c r="P30" s="19">
        <f t="shared" si="1"/>
        <v>1099</v>
      </c>
    </row>
    <row r="31" spans="1:16" ht="13.5" thickBot="1">
      <c r="A31" s="82"/>
      <c r="B31" s="100"/>
      <c r="C31" s="41" t="s">
        <v>7</v>
      </c>
      <c r="D31" s="49">
        <v>39</v>
      </c>
      <c r="E31" s="49">
        <v>23</v>
      </c>
      <c r="F31" s="49">
        <v>44</v>
      </c>
      <c r="G31" s="49">
        <v>39</v>
      </c>
      <c r="H31" s="49">
        <v>34</v>
      </c>
      <c r="I31" s="49">
        <v>51</v>
      </c>
      <c r="J31" s="49">
        <v>43</v>
      </c>
      <c r="K31" s="49">
        <v>29</v>
      </c>
      <c r="L31" s="49">
        <v>60</v>
      </c>
      <c r="M31" s="49">
        <v>56</v>
      </c>
      <c r="N31" s="49">
        <v>46</v>
      </c>
      <c r="O31" s="49">
        <v>58</v>
      </c>
      <c r="P31" s="19">
        <f t="shared" si="1"/>
        <v>522</v>
      </c>
    </row>
    <row r="32" spans="1:16" ht="34.5" thickBot="1">
      <c r="A32" s="82"/>
      <c r="B32" s="100"/>
      <c r="C32" s="40" t="s">
        <v>45</v>
      </c>
      <c r="D32" s="49">
        <v>44</v>
      </c>
      <c r="E32" s="49">
        <v>41</v>
      </c>
      <c r="F32" s="49">
        <v>52</v>
      </c>
      <c r="G32" s="49">
        <v>82</v>
      </c>
      <c r="H32" s="49">
        <v>68</v>
      </c>
      <c r="I32" s="49">
        <v>57</v>
      </c>
      <c r="J32" s="49">
        <v>47</v>
      </c>
      <c r="K32" s="49">
        <v>77</v>
      </c>
      <c r="L32" s="49">
        <v>41</v>
      </c>
      <c r="M32" s="49">
        <v>73</v>
      </c>
      <c r="N32" s="49">
        <v>45</v>
      </c>
      <c r="O32" s="49">
        <v>72</v>
      </c>
      <c r="P32" s="19">
        <f t="shared" si="1"/>
        <v>699</v>
      </c>
    </row>
    <row r="33" spans="1:16" ht="34.5" thickBot="1">
      <c r="A33" s="82"/>
      <c r="B33" s="100"/>
      <c r="C33" s="40" t="s">
        <v>46</v>
      </c>
      <c r="D33" s="49">
        <v>55</v>
      </c>
      <c r="E33" s="49">
        <v>53</v>
      </c>
      <c r="F33" s="49">
        <v>50</v>
      </c>
      <c r="G33" s="49">
        <v>79</v>
      </c>
      <c r="H33" s="49">
        <v>68</v>
      </c>
      <c r="I33" s="49">
        <v>95</v>
      </c>
      <c r="J33" s="49">
        <v>59</v>
      </c>
      <c r="K33" s="49">
        <v>88</v>
      </c>
      <c r="L33" s="49">
        <v>61</v>
      </c>
      <c r="M33" s="49">
        <v>77</v>
      </c>
      <c r="N33" s="49">
        <v>138</v>
      </c>
      <c r="O33" s="49">
        <v>143</v>
      </c>
      <c r="P33" s="19">
        <f t="shared" si="1"/>
        <v>966</v>
      </c>
    </row>
    <row r="34" spans="1:16" ht="23.25" thickBot="1">
      <c r="A34" s="82"/>
      <c r="B34" s="100"/>
      <c r="C34" s="40" t="s">
        <v>44</v>
      </c>
      <c r="D34" s="49">
        <v>80</v>
      </c>
      <c r="E34" s="49">
        <v>80</v>
      </c>
      <c r="F34" s="49">
        <v>87</v>
      </c>
      <c r="G34" s="49">
        <v>102</v>
      </c>
      <c r="H34" s="49">
        <v>142</v>
      </c>
      <c r="I34" s="49">
        <v>98</v>
      </c>
      <c r="J34" s="49">
        <v>180</v>
      </c>
      <c r="K34" s="49">
        <v>140</v>
      </c>
      <c r="L34" s="49">
        <v>138</v>
      </c>
      <c r="M34" s="49">
        <v>107</v>
      </c>
      <c r="N34" s="49">
        <v>118</v>
      </c>
      <c r="O34" s="49">
        <v>115</v>
      </c>
      <c r="P34" s="19">
        <f t="shared" si="1"/>
        <v>1387</v>
      </c>
    </row>
    <row r="35" spans="1:16" ht="23.25" thickBot="1">
      <c r="A35" s="82"/>
      <c r="B35" s="100"/>
      <c r="C35" s="40" t="s">
        <v>8</v>
      </c>
      <c r="D35" s="49">
        <v>65</v>
      </c>
      <c r="E35" s="49">
        <v>65</v>
      </c>
      <c r="F35" s="49">
        <v>67</v>
      </c>
      <c r="G35" s="49">
        <v>78</v>
      </c>
      <c r="H35" s="49">
        <v>85</v>
      </c>
      <c r="I35" s="49">
        <v>112</v>
      </c>
      <c r="J35" s="49">
        <v>88</v>
      </c>
      <c r="K35" s="49">
        <v>72</v>
      </c>
      <c r="L35" s="49">
        <v>83</v>
      </c>
      <c r="M35" s="49">
        <v>66</v>
      </c>
      <c r="N35" s="49">
        <v>67</v>
      </c>
      <c r="O35" s="49">
        <v>73</v>
      </c>
      <c r="P35" s="19">
        <f t="shared" si="1"/>
        <v>921</v>
      </c>
    </row>
    <row r="36" spans="1:16" ht="23.25" thickBot="1">
      <c r="A36" s="83"/>
      <c r="B36" s="100"/>
      <c r="C36" s="42" t="s">
        <v>9</v>
      </c>
      <c r="D36" s="50">
        <v>44</v>
      </c>
      <c r="E36" s="50">
        <v>33</v>
      </c>
      <c r="F36" s="50">
        <v>21</v>
      </c>
      <c r="G36" s="50">
        <v>62</v>
      </c>
      <c r="H36" s="50">
        <v>45</v>
      </c>
      <c r="I36" s="50">
        <v>33</v>
      </c>
      <c r="J36" s="50">
        <v>31</v>
      </c>
      <c r="K36" s="50">
        <v>44</v>
      </c>
      <c r="L36" s="50">
        <v>83</v>
      </c>
      <c r="M36" s="50">
        <v>59</v>
      </c>
      <c r="N36" s="50">
        <v>35</v>
      </c>
      <c r="O36" s="50">
        <v>47</v>
      </c>
      <c r="P36" s="21">
        <f t="shared" si="1"/>
        <v>537</v>
      </c>
    </row>
  </sheetData>
  <sheetProtection/>
  <mergeCells count="5">
    <mergeCell ref="D5:P5"/>
    <mergeCell ref="B7:B16"/>
    <mergeCell ref="B17:B26"/>
    <mergeCell ref="A7:A36"/>
    <mergeCell ref="B27:B36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4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.00390625" style="54" customWidth="1"/>
    <col min="2" max="2" width="8.28125" style="54" customWidth="1"/>
    <col min="3" max="3" width="14.140625" style="54" customWidth="1"/>
    <col min="4" max="4" width="6.8515625" style="54" bestFit="1" customWidth="1"/>
    <col min="5" max="15" width="6.28125" style="54" customWidth="1"/>
    <col min="16" max="16" width="6.8515625" style="54" bestFit="1" customWidth="1"/>
    <col min="17" max="16384" width="9.140625" style="54" customWidth="1"/>
  </cols>
  <sheetData>
    <row r="1" spans="1:8" ht="18.75">
      <c r="A1" s="3" t="s">
        <v>49</v>
      </c>
      <c r="B1" s="2"/>
      <c r="C1" s="13"/>
      <c r="D1" s="2"/>
      <c r="E1" s="2"/>
      <c r="F1" s="2"/>
      <c r="G1" s="2"/>
      <c r="H1" s="2"/>
    </row>
    <row r="2" spans="1:8" ht="12.75">
      <c r="A2" s="9" t="s">
        <v>1</v>
      </c>
      <c r="B2" s="1"/>
      <c r="C2" s="15"/>
      <c r="D2" s="1"/>
      <c r="E2" s="1"/>
      <c r="F2" s="1"/>
      <c r="G2" s="1"/>
      <c r="H2" s="1"/>
    </row>
    <row r="3" ht="12.75">
      <c r="A3" s="2" t="s">
        <v>0</v>
      </c>
    </row>
    <row r="4" ht="13.5" thickBot="1"/>
    <row r="5" spans="1:16" ht="13.5" thickBot="1">
      <c r="A5" s="1"/>
      <c r="B5" s="1"/>
      <c r="C5" s="15"/>
      <c r="D5" s="84">
        <v>2010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84" thickBot="1">
      <c r="A6" s="1"/>
      <c r="B6" s="1"/>
      <c r="C6" s="15"/>
      <c r="D6" s="18" t="s">
        <v>26</v>
      </c>
      <c r="E6" s="18" t="s">
        <v>27</v>
      </c>
      <c r="F6" s="18" t="s">
        <v>28</v>
      </c>
      <c r="G6" s="18" t="s">
        <v>34</v>
      </c>
      <c r="H6" s="18" t="s">
        <v>35</v>
      </c>
      <c r="I6" s="18" t="s">
        <v>36</v>
      </c>
      <c r="J6" s="18" t="s">
        <v>37</v>
      </c>
      <c r="K6" s="18" t="s">
        <v>38</v>
      </c>
      <c r="L6" s="18" t="s">
        <v>39</v>
      </c>
      <c r="M6" s="18" t="s">
        <v>40</v>
      </c>
      <c r="N6" s="18" t="s">
        <v>41</v>
      </c>
      <c r="O6" s="18" t="s">
        <v>42</v>
      </c>
      <c r="P6" s="18" t="s">
        <v>56</v>
      </c>
    </row>
    <row r="7" spans="1:16" ht="53.25" customHeight="1" thickBot="1">
      <c r="A7" s="81" t="s">
        <v>16</v>
      </c>
      <c r="B7" s="91" t="s">
        <v>29</v>
      </c>
      <c r="C7" s="36" t="s">
        <v>17</v>
      </c>
      <c r="D7" s="56">
        <f>SUM(D8:D16)</f>
        <v>65116</v>
      </c>
      <c r="E7" s="56">
        <f aca="true" t="shared" si="0" ref="E7:O7">SUM(E8:E16)</f>
        <v>60801</v>
      </c>
      <c r="F7" s="56">
        <f t="shared" si="0"/>
        <v>81006</v>
      </c>
      <c r="G7" s="56">
        <f t="shared" si="0"/>
        <v>79233</v>
      </c>
      <c r="H7" s="56">
        <f t="shared" si="0"/>
        <v>88329</v>
      </c>
      <c r="I7" s="56">
        <f t="shared" si="0"/>
        <v>83900</v>
      </c>
      <c r="J7" s="56">
        <f t="shared" si="0"/>
        <v>88833</v>
      </c>
      <c r="K7" s="56">
        <f t="shared" si="0"/>
        <v>68343</v>
      </c>
      <c r="L7" s="56">
        <f t="shared" si="0"/>
        <v>60008</v>
      </c>
      <c r="M7" s="56">
        <f t="shared" si="0"/>
        <v>72614</v>
      </c>
      <c r="N7" s="56">
        <f t="shared" si="0"/>
        <v>63812</v>
      </c>
      <c r="O7" s="56">
        <f t="shared" si="0"/>
        <v>103562</v>
      </c>
      <c r="P7" s="57">
        <f aca="true" t="shared" si="1" ref="P7:P16">SUM(D7:O7)</f>
        <v>915557</v>
      </c>
    </row>
    <row r="8" spans="1:16" ht="22.5">
      <c r="A8" s="82"/>
      <c r="B8" s="94"/>
      <c r="C8" s="60" t="s">
        <v>43</v>
      </c>
      <c r="D8" s="47">
        <v>21385</v>
      </c>
      <c r="E8" s="47">
        <v>13512</v>
      </c>
      <c r="F8" s="47">
        <v>21369</v>
      </c>
      <c r="G8" s="47">
        <v>21827</v>
      </c>
      <c r="H8" s="47">
        <v>37603</v>
      </c>
      <c r="I8" s="47">
        <v>23965</v>
      </c>
      <c r="J8" s="47">
        <v>27229</v>
      </c>
      <c r="K8" s="47">
        <v>15573</v>
      </c>
      <c r="L8" s="47">
        <v>14693</v>
      </c>
      <c r="M8" s="47">
        <v>16769</v>
      </c>
      <c r="N8" s="47">
        <v>18193</v>
      </c>
      <c r="O8" s="47">
        <v>36743</v>
      </c>
      <c r="P8" s="48">
        <f t="shared" si="1"/>
        <v>268861</v>
      </c>
    </row>
    <row r="9" spans="1:16" ht="33.75">
      <c r="A9" s="82"/>
      <c r="B9" s="94"/>
      <c r="C9" s="61" t="s">
        <v>5</v>
      </c>
      <c r="D9" s="49">
        <v>14194</v>
      </c>
      <c r="E9" s="49">
        <v>16441</v>
      </c>
      <c r="F9" s="49">
        <v>19708</v>
      </c>
      <c r="G9" s="49">
        <v>19528</v>
      </c>
      <c r="H9" s="49">
        <v>16390</v>
      </c>
      <c r="I9" s="49">
        <v>21455</v>
      </c>
      <c r="J9" s="49">
        <v>23626</v>
      </c>
      <c r="K9" s="49">
        <v>16663</v>
      </c>
      <c r="L9" s="49">
        <v>12782</v>
      </c>
      <c r="M9" s="49">
        <v>17861</v>
      </c>
      <c r="N9" s="49">
        <v>14038</v>
      </c>
      <c r="O9" s="49">
        <v>20295</v>
      </c>
      <c r="P9" s="19">
        <f t="shared" si="1"/>
        <v>212981</v>
      </c>
    </row>
    <row r="10" spans="1:16" ht="22.5">
      <c r="A10" s="82"/>
      <c r="B10" s="94"/>
      <c r="C10" s="61" t="s">
        <v>6</v>
      </c>
      <c r="D10" s="49">
        <v>6798</v>
      </c>
      <c r="E10" s="49">
        <v>6751</v>
      </c>
      <c r="F10" s="49">
        <v>9412</v>
      </c>
      <c r="G10" s="49">
        <v>8488</v>
      </c>
      <c r="H10" s="49">
        <v>7843</v>
      </c>
      <c r="I10" s="49">
        <v>7436</v>
      </c>
      <c r="J10" s="49">
        <v>9011</v>
      </c>
      <c r="K10" s="49">
        <v>8029</v>
      </c>
      <c r="L10" s="49">
        <v>6695</v>
      </c>
      <c r="M10" s="49">
        <v>8284</v>
      </c>
      <c r="N10" s="49">
        <v>6516</v>
      </c>
      <c r="O10" s="49">
        <v>10658</v>
      </c>
      <c r="P10" s="19">
        <f t="shared" si="1"/>
        <v>95921</v>
      </c>
    </row>
    <row r="11" spans="1:16" ht="12.75">
      <c r="A11" s="82"/>
      <c r="B11" s="94"/>
      <c r="C11" s="62" t="s">
        <v>7</v>
      </c>
      <c r="D11" s="49">
        <v>12030</v>
      </c>
      <c r="E11" s="49">
        <v>11916</v>
      </c>
      <c r="F11" s="49">
        <v>16307</v>
      </c>
      <c r="G11" s="49">
        <v>16172</v>
      </c>
      <c r="H11" s="49">
        <v>13770</v>
      </c>
      <c r="I11" s="49">
        <v>15174</v>
      </c>
      <c r="J11" s="49">
        <v>14650</v>
      </c>
      <c r="K11" s="49">
        <v>14355</v>
      </c>
      <c r="L11" s="49">
        <v>14027</v>
      </c>
      <c r="M11" s="49">
        <v>13010</v>
      </c>
      <c r="N11" s="49">
        <v>12213</v>
      </c>
      <c r="O11" s="49">
        <v>17924</v>
      </c>
      <c r="P11" s="19">
        <f t="shared" si="1"/>
        <v>171548</v>
      </c>
    </row>
    <row r="12" spans="1:16" ht="33.75">
      <c r="A12" s="82"/>
      <c r="B12" s="94"/>
      <c r="C12" s="61" t="s">
        <v>45</v>
      </c>
      <c r="D12" s="49">
        <v>2542</v>
      </c>
      <c r="E12" s="49">
        <v>2135</v>
      </c>
      <c r="F12" s="49">
        <v>3448</v>
      </c>
      <c r="G12" s="49">
        <v>2506</v>
      </c>
      <c r="H12" s="49">
        <v>2810</v>
      </c>
      <c r="I12" s="49">
        <v>3405</v>
      </c>
      <c r="J12" s="49">
        <v>3327</v>
      </c>
      <c r="K12" s="49">
        <v>2714</v>
      </c>
      <c r="L12" s="49">
        <v>2367</v>
      </c>
      <c r="M12" s="49">
        <v>6015</v>
      </c>
      <c r="N12" s="49">
        <v>2679</v>
      </c>
      <c r="O12" s="49">
        <v>3814</v>
      </c>
      <c r="P12" s="19">
        <f t="shared" si="1"/>
        <v>37762</v>
      </c>
    </row>
    <row r="13" spans="1:16" ht="33.75">
      <c r="A13" s="82"/>
      <c r="B13" s="94"/>
      <c r="C13" s="61" t="s">
        <v>46</v>
      </c>
      <c r="D13" s="49">
        <v>1573</v>
      </c>
      <c r="E13" s="49">
        <v>1888</v>
      </c>
      <c r="F13" s="49">
        <v>2247</v>
      </c>
      <c r="G13" s="49">
        <v>2365</v>
      </c>
      <c r="H13" s="49">
        <v>2613</v>
      </c>
      <c r="I13" s="49">
        <v>2957</v>
      </c>
      <c r="J13" s="49">
        <v>1854</v>
      </c>
      <c r="K13" s="49">
        <v>2187</v>
      </c>
      <c r="L13" s="49">
        <v>2076</v>
      </c>
      <c r="M13" s="49">
        <v>2565</v>
      </c>
      <c r="N13" s="49">
        <v>2885</v>
      </c>
      <c r="O13" s="49">
        <v>2634</v>
      </c>
      <c r="P13" s="19">
        <f t="shared" si="1"/>
        <v>27844</v>
      </c>
    </row>
    <row r="14" spans="1:16" ht="22.5">
      <c r="A14" s="82"/>
      <c r="B14" s="94"/>
      <c r="C14" s="61" t="s">
        <v>44</v>
      </c>
      <c r="D14" s="49">
        <v>1954</v>
      </c>
      <c r="E14" s="49">
        <v>2058</v>
      </c>
      <c r="F14" s="49">
        <v>2690</v>
      </c>
      <c r="G14" s="49">
        <v>2814</v>
      </c>
      <c r="H14" s="49">
        <v>2255</v>
      </c>
      <c r="I14" s="49">
        <v>3076</v>
      </c>
      <c r="J14" s="49">
        <v>2623</v>
      </c>
      <c r="K14" s="49">
        <v>2682</v>
      </c>
      <c r="L14" s="49">
        <v>2695</v>
      </c>
      <c r="M14" s="49">
        <v>1954</v>
      </c>
      <c r="N14" s="49">
        <v>2713</v>
      </c>
      <c r="O14" s="49">
        <v>4517</v>
      </c>
      <c r="P14" s="19">
        <f t="shared" si="1"/>
        <v>32031</v>
      </c>
    </row>
    <row r="15" spans="1:16" ht="22.5">
      <c r="A15" s="82"/>
      <c r="B15" s="94"/>
      <c r="C15" s="61" t="s">
        <v>8</v>
      </c>
      <c r="D15" s="49">
        <v>3475</v>
      </c>
      <c r="E15" s="49">
        <v>4866</v>
      </c>
      <c r="F15" s="49">
        <v>4190</v>
      </c>
      <c r="G15" s="49">
        <v>3850</v>
      </c>
      <c r="H15" s="49">
        <v>3701</v>
      </c>
      <c r="I15" s="49">
        <v>4929</v>
      </c>
      <c r="J15" s="49">
        <v>4939</v>
      </c>
      <c r="K15" s="49">
        <v>4246</v>
      </c>
      <c r="L15" s="49">
        <v>3333</v>
      </c>
      <c r="M15" s="49">
        <v>3939</v>
      </c>
      <c r="N15" s="49">
        <v>3282</v>
      </c>
      <c r="O15" s="49">
        <v>4957</v>
      </c>
      <c r="P15" s="19">
        <f t="shared" si="1"/>
        <v>49707</v>
      </c>
    </row>
    <row r="16" spans="1:16" ht="23.25" thickBot="1">
      <c r="A16" s="82"/>
      <c r="B16" s="95"/>
      <c r="C16" s="63" t="s">
        <v>9</v>
      </c>
      <c r="D16" s="50">
        <v>1165</v>
      </c>
      <c r="E16" s="50">
        <v>1234</v>
      </c>
      <c r="F16" s="50">
        <v>1635</v>
      </c>
      <c r="G16" s="50">
        <v>1683</v>
      </c>
      <c r="H16" s="50">
        <v>1344</v>
      </c>
      <c r="I16" s="50">
        <v>1503</v>
      </c>
      <c r="J16" s="50">
        <v>1574</v>
      </c>
      <c r="K16" s="50">
        <v>1894</v>
      </c>
      <c r="L16" s="50">
        <v>1340</v>
      </c>
      <c r="M16" s="50">
        <v>2217</v>
      </c>
      <c r="N16" s="50">
        <v>1293</v>
      </c>
      <c r="O16" s="50">
        <v>2020</v>
      </c>
      <c r="P16" s="21">
        <f t="shared" si="1"/>
        <v>18902</v>
      </c>
    </row>
    <row r="17" spans="1:16" ht="53.25" thickBot="1">
      <c r="A17" s="82"/>
      <c r="B17" s="101" t="s">
        <v>30</v>
      </c>
      <c r="C17" s="36" t="s">
        <v>17</v>
      </c>
      <c r="D17" s="56">
        <f>SUM(D18:D26)</f>
        <v>5563</v>
      </c>
      <c r="E17" s="56">
        <f aca="true" t="shared" si="2" ref="E17:O17">SUM(E18:E26)</f>
        <v>2352</v>
      </c>
      <c r="F17" s="56">
        <f t="shared" si="2"/>
        <v>4146</v>
      </c>
      <c r="G17" s="56">
        <f t="shared" si="2"/>
        <v>2954</v>
      </c>
      <c r="H17" s="56">
        <f t="shared" si="2"/>
        <v>4261</v>
      </c>
      <c r="I17" s="56">
        <f t="shared" si="2"/>
        <v>4078</v>
      </c>
      <c r="J17" s="56">
        <f t="shared" si="2"/>
        <v>6580</v>
      </c>
      <c r="K17" s="56">
        <f t="shared" si="2"/>
        <v>2969</v>
      </c>
      <c r="L17" s="56">
        <f t="shared" si="2"/>
        <v>3267</v>
      </c>
      <c r="M17" s="56">
        <f t="shared" si="2"/>
        <v>2771</v>
      </c>
      <c r="N17" s="56">
        <f t="shared" si="2"/>
        <v>4442</v>
      </c>
      <c r="O17" s="56">
        <f t="shared" si="2"/>
        <v>10476</v>
      </c>
      <c r="P17" s="57">
        <f>SUM(D17:O17)</f>
        <v>53859</v>
      </c>
    </row>
    <row r="18" spans="1:16" ht="22.5">
      <c r="A18" s="82"/>
      <c r="B18" s="102"/>
      <c r="C18" s="60" t="s">
        <v>43</v>
      </c>
      <c r="D18" s="47">
        <v>4054</v>
      </c>
      <c r="E18" s="47">
        <v>1185</v>
      </c>
      <c r="F18" s="47">
        <v>1714</v>
      </c>
      <c r="G18" s="47">
        <v>1180</v>
      </c>
      <c r="H18" s="47">
        <v>2488</v>
      </c>
      <c r="I18" s="47">
        <v>1674</v>
      </c>
      <c r="J18" s="47">
        <v>4065</v>
      </c>
      <c r="K18" s="47">
        <v>722</v>
      </c>
      <c r="L18" s="47">
        <v>1740</v>
      </c>
      <c r="M18" s="47">
        <v>746</v>
      </c>
      <c r="N18" s="47">
        <v>2646</v>
      </c>
      <c r="O18" s="47">
        <v>7538</v>
      </c>
      <c r="P18" s="48">
        <f aca="true" t="shared" si="3" ref="P18:P46">SUM(D18:O18)</f>
        <v>29752</v>
      </c>
    </row>
    <row r="19" spans="1:16" ht="36" customHeight="1">
      <c r="A19" s="82"/>
      <c r="B19" s="102"/>
      <c r="C19" s="61" t="s">
        <v>5</v>
      </c>
      <c r="D19" s="49">
        <v>476</v>
      </c>
      <c r="E19" s="49">
        <v>489</v>
      </c>
      <c r="F19" s="49">
        <v>1169</v>
      </c>
      <c r="G19" s="49">
        <v>541</v>
      </c>
      <c r="H19" s="49">
        <v>491</v>
      </c>
      <c r="I19" s="49">
        <v>1446</v>
      </c>
      <c r="J19" s="49">
        <v>1205</v>
      </c>
      <c r="K19" s="49">
        <v>1251</v>
      </c>
      <c r="L19" s="49">
        <v>600</v>
      </c>
      <c r="M19" s="49">
        <v>813</v>
      </c>
      <c r="N19" s="49">
        <v>635</v>
      </c>
      <c r="O19" s="49">
        <v>1410</v>
      </c>
      <c r="P19" s="19">
        <f t="shared" si="3"/>
        <v>10526</v>
      </c>
    </row>
    <row r="20" spans="1:16" ht="22.5">
      <c r="A20" s="82"/>
      <c r="B20" s="102"/>
      <c r="C20" s="61" t="s">
        <v>6</v>
      </c>
      <c r="D20" s="49">
        <v>537</v>
      </c>
      <c r="E20" s="49">
        <v>149</v>
      </c>
      <c r="F20" s="49">
        <v>342</v>
      </c>
      <c r="G20" s="49">
        <v>495</v>
      </c>
      <c r="H20" s="49">
        <v>462</v>
      </c>
      <c r="I20" s="49">
        <v>180</v>
      </c>
      <c r="J20" s="49">
        <v>271</v>
      </c>
      <c r="K20" s="49">
        <v>233</v>
      </c>
      <c r="L20" s="49">
        <v>419</v>
      </c>
      <c r="M20" s="49">
        <v>363</v>
      </c>
      <c r="N20" s="49">
        <v>239</v>
      </c>
      <c r="O20" s="49">
        <v>497</v>
      </c>
      <c r="P20" s="19">
        <f t="shared" si="3"/>
        <v>4187</v>
      </c>
    </row>
    <row r="21" spans="1:16" ht="12.75">
      <c r="A21" s="82"/>
      <c r="B21" s="102"/>
      <c r="C21" s="62" t="s">
        <v>7</v>
      </c>
      <c r="D21" s="49">
        <v>441</v>
      </c>
      <c r="E21" s="49">
        <v>457</v>
      </c>
      <c r="F21" s="49">
        <v>630</v>
      </c>
      <c r="G21" s="49">
        <v>602</v>
      </c>
      <c r="H21" s="49">
        <v>682</v>
      </c>
      <c r="I21" s="49">
        <v>695</v>
      </c>
      <c r="J21" s="49">
        <v>839</v>
      </c>
      <c r="K21" s="49">
        <v>571</v>
      </c>
      <c r="L21" s="49">
        <v>308</v>
      </c>
      <c r="M21" s="49">
        <v>743</v>
      </c>
      <c r="N21" s="49">
        <v>819</v>
      </c>
      <c r="O21" s="49">
        <v>835</v>
      </c>
      <c r="P21" s="19">
        <f t="shared" si="3"/>
        <v>7622</v>
      </c>
    </row>
    <row r="22" spans="1:16" ht="33.75">
      <c r="A22" s="82"/>
      <c r="B22" s="102"/>
      <c r="C22" s="61" t="s">
        <v>45</v>
      </c>
      <c r="D22" s="49">
        <v>1</v>
      </c>
      <c r="E22" s="49">
        <v>3</v>
      </c>
      <c r="F22" s="49">
        <v>56</v>
      </c>
      <c r="G22" s="49">
        <v>4</v>
      </c>
      <c r="H22" s="49">
        <v>10</v>
      </c>
      <c r="I22" s="49">
        <v>31</v>
      </c>
      <c r="J22" s="49">
        <v>74</v>
      </c>
      <c r="K22" s="49">
        <v>17</v>
      </c>
      <c r="L22" s="49">
        <v>31</v>
      </c>
      <c r="M22" s="49">
        <v>17</v>
      </c>
      <c r="N22" s="49">
        <v>27</v>
      </c>
      <c r="O22" s="49">
        <v>20</v>
      </c>
      <c r="P22" s="19">
        <f t="shared" si="3"/>
        <v>291</v>
      </c>
    </row>
    <row r="23" spans="1:16" ht="33.75">
      <c r="A23" s="82"/>
      <c r="B23" s="102"/>
      <c r="C23" s="61" t="s">
        <v>46</v>
      </c>
      <c r="D23" s="49">
        <v>0</v>
      </c>
      <c r="E23" s="49">
        <v>0</v>
      </c>
      <c r="F23" s="49">
        <v>14</v>
      </c>
      <c r="G23" s="49">
        <v>17</v>
      </c>
      <c r="H23" s="49">
        <v>6</v>
      </c>
      <c r="I23" s="49">
        <v>2</v>
      </c>
      <c r="J23" s="49">
        <v>5</v>
      </c>
      <c r="K23" s="49">
        <v>10</v>
      </c>
      <c r="L23" s="49">
        <v>9</v>
      </c>
      <c r="M23" s="49">
        <v>9</v>
      </c>
      <c r="N23" s="49">
        <v>2</v>
      </c>
      <c r="O23" s="49">
        <v>0</v>
      </c>
      <c r="P23" s="19">
        <f t="shared" si="3"/>
        <v>74</v>
      </c>
    </row>
    <row r="24" spans="1:16" ht="22.5">
      <c r="A24" s="82"/>
      <c r="B24" s="102"/>
      <c r="C24" s="61" t="s">
        <v>44</v>
      </c>
      <c r="D24" s="49">
        <v>25</v>
      </c>
      <c r="E24" s="49">
        <v>15</v>
      </c>
      <c r="F24" s="49">
        <v>141</v>
      </c>
      <c r="G24" s="49">
        <v>73</v>
      </c>
      <c r="H24" s="49">
        <v>54</v>
      </c>
      <c r="I24" s="49">
        <v>16</v>
      </c>
      <c r="J24" s="49">
        <v>77</v>
      </c>
      <c r="K24" s="49">
        <v>56</v>
      </c>
      <c r="L24" s="49">
        <v>61</v>
      </c>
      <c r="M24" s="49">
        <v>24</v>
      </c>
      <c r="N24" s="49">
        <v>31</v>
      </c>
      <c r="O24" s="49">
        <v>92</v>
      </c>
      <c r="P24" s="19">
        <f t="shared" si="3"/>
        <v>665</v>
      </c>
    </row>
    <row r="25" spans="1:16" ht="22.5">
      <c r="A25" s="82"/>
      <c r="B25" s="102"/>
      <c r="C25" s="61" t="s">
        <v>8</v>
      </c>
      <c r="D25" s="49">
        <v>26</v>
      </c>
      <c r="E25" s="49">
        <v>54</v>
      </c>
      <c r="F25" s="49">
        <v>74</v>
      </c>
      <c r="G25" s="49">
        <v>42</v>
      </c>
      <c r="H25" s="49">
        <v>65</v>
      </c>
      <c r="I25" s="49">
        <v>22</v>
      </c>
      <c r="J25" s="49">
        <v>44</v>
      </c>
      <c r="K25" s="49">
        <v>109</v>
      </c>
      <c r="L25" s="49">
        <v>99</v>
      </c>
      <c r="M25" s="49">
        <v>55</v>
      </c>
      <c r="N25" s="49">
        <v>37</v>
      </c>
      <c r="O25" s="49">
        <v>84</v>
      </c>
      <c r="P25" s="19">
        <f t="shared" si="3"/>
        <v>711</v>
      </c>
    </row>
    <row r="26" spans="1:16" ht="23.25" thickBot="1">
      <c r="A26" s="82"/>
      <c r="B26" s="103"/>
      <c r="C26" s="63" t="s">
        <v>9</v>
      </c>
      <c r="D26" s="50">
        <v>3</v>
      </c>
      <c r="E26" s="50">
        <v>0</v>
      </c>
      <c r="F26" s="50">
        <v>6</v>
      </c>
      <c r="G26" s="50">
        <v>0</v>
      </c>
      <c r="H26" s="50">
        <v>3</v>
      </c>
      <c r="I26" s="50">
        <v>12</v>
      </c>
      <c r="J26" s="50">
        <v>0</v>
      </c>
      <c r="K26" s="50">
        <v>0</v>
      </c>
      <c r="L26" s="50">
        <v>0</v>
      </c>
      <c r="M26" s="50">
        <v>1</v>
      </c>
      <c r="N26" s="50">
        <v>6</v>
      </c>
      <c r="O26" s="50">
        <v>0</v>
      </c>
      <c r="P26" s="21">
        <f t="shared" si="3"/>
        <v>31</v>
      </c>
    </row>
    <row r="27" spans="1:16" ht="53.25" thickBot="1">
      <c r="A27" s="82"/>
      <c r="B27" s="101" t="s">
        <v>31</v>
      </c>
      <c r="C27" s="36" t="s">
        <v>17</v>
      </c>
      <c r="D27" s="58">
        <f>SUM(D28:D36)</f>
        <v>55902</v>
      </c>
      <c r="E27" s="58">
        <f aca="true" t="shared" si="4" ref="E27:O27">SUM(E28:E36)</f>
        <v>51181</v>
      </c>
      <c r="F27" s="58">
        <f t="shared" si="4"/>
        <v>69413</v>
      </c>
      <c r="G27" s="58">
        <f t="shared" si="4"/>
        <v>67650</v>
      </c>
      <c r="H27" s="58">
        <f t="shared" si="4"/>
        <v>70502</v>
      </c>
      <c r="I27" s="58">
        <f t="shared" si="4"/>
        <v>68258</v>
      </c>
      <c r="J27" s="58">
        <f t="shared" si="4"/>
        <v>73595</v>
      </c>
      <c r="K27" s="58">
        <f t="shared" si="4"/>
        <v>55724</v>
      </c>
      <c r="L27" s="58">
        <f t="shared" si="4"/>
        <v>50122</v>
      </c>
      <c r="M27" s="58">
        <f t="shared" si="4"/>
        <v>67920</v>
      </c>
      <c r="N27" s="58">
        <f t="shared" si="4"/>
        <v>45132</v>
      </c>
      <c r="O27" s="58">
        <f t="shared" si="4"/>
        <v>83693</v>
      </c>
      <c r="P27" s="59">
        <f t="shared" si="3"/>
        <v>759092</v>
      </c>
    </row>
    <row r="28" spans="1:16" ht="22.5">
      <c r="A28" s="82"/>
      <c r="B28" s="102"/>
      <c r="C28" s="60" t="s">
        <v>43</v>
      </c>
      <c r="D28" s="47">
        <v>17956</v>
      </c>
      <c r="E28" s="47">
        <v>11702</v>
      </c>
      <c r="F28" s="47">
        <v>18968</v>
      </c>
      <c r="G28" s="47">
        <v>18549</v>
      </c>
      <c r="H28" s="47">
        <v>27831</v>
      </c>
      <c r="I28" s="47">
        <v>18918</v>
      </c>
      <c r="J28" s="47">
        <v>23333</v>
      </c>
      <c r="K28" s="47">
        <v>12074</v>
      </c>
      <c r="L28" s="47">
        <v>12460</v>
      </c>
      <c r="M28" s="47">
        <v>13113</v>
      </c>
      <c r="N28" s="47">
        <v>13181</v>
      </c>
      <c r="O28" s="47">
        <v>29958</v>
      </c>
      <c r="P28" s="48">
        <f t="shared" si="3"/>
        <v>218043</v>
      </c>
    </row>
    <row r="29" spans="1:16" ht="33.75">
      <c r="A29" s="82"/>
      <c r="B29" s="102"/>
      <c r="C29" s="61" t="s">
        <v>5</v>
      </c>
      <c r="D29" s="49">
        <v>12173</v>
      </c>
      <c r="E29" s="49">
        <v>13071</v>
      </c>
      <c r="F29" s="49">
        <v>16954</v>
      </c>
      <c r="G29" s="49">
        <v>16834</v>
      </c>
      <c r="H29" s="49">
        <v>13283</v>
      </c>
      <c r="I29" s="49">
        <v>17397</v>
      </c>
      <c r="J29" s="49">
        <v>18556</v>
      </c>
      <c r="K29" s="49">
        <v>13848</v>
      </c>
      <c r="L29" s="49">
        <v>10552</v>
      </c>
      <c r="M29" s="49">
        <v>14279</v>
      </c>
      <c r="N29" s="49">
        <v>11602</v>
      </c>
      <c r="O29" s="49">
        <v>16394</v>
      </c>
      <c r="P29" s="19">
        <f t="shared" si="3"/>
        <v>174943</v>
      </c>
    </row>
    <row r="30" spans="1:16" ht="28.5" customHeight="1">
      <c r="A30" s="82"/>
      <c r="B30" s="102"/>
      <c r="C30" s="61" t="s">
        <v>6</v>
      </c>
      <c r="D30" s="49">
        <v>6222</v>
      </c>
      <c r="E30" s="49">
        <v>5802</v>
      </c>
      <c r="F30" s="49">
        <v>7692</v>
      </c>
      <c r="G30" s="49">
        <v>7309</v>
      </c>
      <c r="H30" s="49">
        <v>6952</v>
      </c>
      <c r="I30" s="49">
        <v>6053</v>
      </c>
      <c r="J30" s="49">
        <v>7539</v>
      </c>
      <c r="K30" s="49">
        <v>6677</v>
      </c>
      <c r="L30" s="49">
        <v>5824</v>
      </c>
      <c r="M30" s="49">
        <v>6826</v>
      </c>
      <c r="N30" s="49">
        <v>522</v>
      </c>
      <c r="O30" s="49">
        <v>8530</v>
      </c>
      <c r="P30" s="19">
        <f t="shared" si="3"/>
        <v>75948</v>
      </c>
    </row>
    <row r="31" spans="1:16" ht="23.25" customHeight="1">
      <c r="A31" s="82"/>
      <c r="B31" s="102"/>
      <c r="C31" s="62" t="s">
        <v>7</v>
      </c>
      <c r="D31" s="49">
        <v>10284</v>
      </c>
      <c r="E31" s="49">
        <v>10161</v>
      </c>
      <c r="F31" s="49">
        <v>13848</v>
      </c>
      <c r="G31" s="49">
        <v>13839</v>
      </c>
      <c r="H31" s="49">
        <v>11735</v>
      </c>
      <c r="I31" s="49">
        <v>12792</v>
      </c>
      <c r="J31" s="49">
        <v>12059</v>
      </c>
      <c r="K31" s="49">
        <v>11627</v>
      </c>
      <c r="L31" s="49">
        <v>11659</v>
      </c>
      <c r="M31" s="49">
        <v>9913</v>
      </c>
      <c r="N31" s="49">
        <v>9905</v>
      </c>
      <c r="O31" s="49">
        <v>14125</v>
      </c>
      <c r="P31" s="19">
        <f t="shared" si="3"/>
        <v>141947</v>
      </c>
    </row>
    <row r="32" spans="1:16" ht="33.75">
      <c r="A32" s="82"/>
      <c r="B32" s="102"/>
      <c r="C32" s="61" t="s">
        <v>45</v>
      </c>
      <c r="D32" s="49">
        <v>2281</v>
      </c>
      <c r="E32" s="49">
        <v>1765</v>
      </c>
      <c r="F32" s="49">
        <v>2973</v>
      </c>
      <c r="G32" s="49">
        <v>2147</v>
      </c>
      <c r="H32" s="49">
        <v>2436</v>
      </c>
      <c r="I32" s="49">
        <v>2772</v>
      </c>
      <c r="J32" s="49">
        <v>2860</v>
      </c>
      <c r="K32" s="49">
        <v>2186</v>
      </c>
      <c r="L32" s="49">
        <v>2029</v>
      </c>
      <c r="M32" s="49">
        <v>5253</v>
      </c>
      <c r="N32" s="49">
        <v>2281</v>
      </c>
      <c r="O32" s="49">
        <v>3326</v>
      </c>
      <c r="P32" s="19">
        <f t="shared" si="3"/>
        <v>32309</v>
      </c>
    </row>
    <row r="33" spans="1:16" ht="33.75">
      <c r="A33" s="82"/>
      <c r="B33" s="102"/>
      <c r="C33" s="61" t="s">
        <v>46</v>
      </c>
      <c r="D33" s="49">
        <v>1403</v>
      </c>
      <c r="E33" s="49">
        <v>1659</v>
      </c>
      <c r="F33" s="49">
        <v>1874</v>
      </c>
      <c r="G33" s="49">
        <v>2043</v>
      </c>
      <c r="H33" s="49">
        <v>2253</v>
      </c>
      <c r="I33" s="49">
        <v>2581</v>
      </c>
      <c r="J33" s="49">
        <v>1589</v>
      </c>
      <c r="K33" s="49">
        <v>1791</v>
      </c>
      <c r="L33" s="49">
        <v>1655</v>
      </c>
      <c r="M33" s="49">
        <v>2187</v>
      </c>
      <c r="N33" s="49">
        <v>1738</v>
      </c>
      <c r="O33" s="49">
        <v>1993</v>
      </c>
      <c r="P33" s="19">
        <f t="shared" si="3"/>
        <v>22766</v>
      </c>
    </row>
    <row r="34" spans="1:16" ht="22.5">
      <c r="A34" s="82"/>
      <c r="B34" s="102"/>
      <c r="C34" s="61" t="s">
        <v>44</v>
      </c>
      <c r="D34" s="49">
        <v>1702</v>
      </c>
      <c r="E34" s="49">
        <v>1834</v>
      </c>
      <c r="F34" s="49">
        <v>2111</v>
      </c>
      <c r="G34" s="49">
        <v>2382</v>
      </c>
      <c r="H34" s="49">
        <v>1952</v>
      </c>
      <c r="I34" s="49">
        <v>2610</v>
      </c>
      <c r="J34" s="49">
        <v>2107</v>
      </c>
      <c r="K34" s="49">
        <v>2380</v>
      </c>
      <c r="L34" s="49">
        <v>1915</v>
      </c>
      <c r="M34" s="49">
        <v>1996</v>
      </c>
      <c r="N34" s="49">
        <v>2157</v>
      </c>
      <c r="O34" s="49">
        <v>3735</v>
      </c>
      <c r="P34" s="19">
        <f t="shared" si="3"/>
        <v>26881</v>
      </c>
    </row>
    <row r="35" spans="1:16" ht="22.5">
      <c r="A35" s="82"/>
      <c r="B35" s="102"/>
      <c r="C35" s="61" t="s">
        <v>8</v>
      </c>
      <c r="D35" s="49">
        <v>2859</v>
      </c>
      <c r="E35" s="49">
        <v>4146</v>
      </c>
      <c r="F35" s="49">
        <v>3606</v>
      </c>
      <c r="G35" s="49">
        <v>3165</v>
      </c>
      <c r="H35" s="49">
        <v>2939</v>
      </c>
      <c r="I35" s="49">
        <v>3906</v>
      </c>
      <c r="J35" s="49">
        <v>4320</v>
      </c>
      <c r="K35" s="49">
        <v>3621</v>
      </c>
      <c r="L35" s="49">
        <v>2897</v>
      </c>
      <c r="M35" s="49">
        <v>12492</v>
      </c>
      <c r="N35" s="49">
        <v>2646</v>
      </c>
      <c r="O35" s="49">
        <v>4054</v>
      </c>
      <c r="P35" s="19">
        <f t="shared" si="3"/>
        <v>50651</v>
      </c>
    </row>
    <row r="36" spans="1:16" ht="23.25" thickBot="1">
      <c r="A36" s="82"/>
      <c r="B36" s="103"/>
      <c r="C36" s="63" t="s">
        <v>9</v>
      </c>
      <c r="D36" s="50">
        <v>1022</v>
      </c>
      <c r="E36" s="50">
        <v>1041</v>
      </c>
      <c r="F36" s="50">
        <v>1387</v>
      </c>
      <c r="G36" s="50">
        <v>1382</v>
      </c>
      <c r="H36" s="50">
        <v>1121</v>
      </c>
      <c r="I36" s="50">
        <v>1229</v>
      </c>
      <c r="J36" s="50">
        <v>1232</v>
      </c>
      <c r="K36" s="50">
        <v>1520</v>
      </c>
      <c r="L36" s="50">
        <v>1131</v>
      </c>
      <c r="M36" s="50">
        <v>1861</v>
      </c>
      <c r="N36" s="50">
        <v>1100</v>
      </c>
      <c r="O36" s="50">
        <v>1578</v>
      </c>
      <c r="P36" s="21">
        <f t="shared" si="3"/>
        <v>15604</v>
      </c>
    </row>
    <row r="37" spans="1:16" ht="53.25" thickBot="1">
      <c r="A37" s="82"/>
      <c r="B37" s="101" t="s">
        <v>32</v>
      </c>
      <c r="C37" s="36" t="s">
        <v>17</v>
      </c>
      <c r="D37" s="58">
        <f>SUM(D38:D46)</f>
        <v>2930</v>
      </c>
      <c r="E37" s="58">
        <f aca="true" t="shared" si="5" ref="E37:O37">SUM(E38:E46)</f>
        <v>2715</v>
      </c>
      <c r="F37" s="58">
        <f t="shared" si="5"/>
        <v>3661</v>
      </c>
      <c r="G37" s="58">
        <f t="shared" si="5"/>
        <v>3604</v>
      </c>
      <c r="H37" s="58">
        <f t="shared" si="5"/>
        <v>4012</v>
      </c>
      <c r="I37" s="58">
        <f t="shared" si="5"/>
        <v>3797</v>
      </c>
      <c r="J37" s="58">
        <f t="shared" si="5"/>
        <v>4038</v>
      </c>
      <c r="K37" s="58">
        <f t="shared" si="5"/>
        <v>3066</v>
      </c>
      <c r="L37" s="58">
        <f t="shared" si="5"/>
        <v>2753</v>
      </c>
      <c r="M37" s="58">
        <f t="shared" si="5"/>
        <v>3271</v>
      </c>
      <c r="N37" s="58">
        <f t="shared" si="5"/>
        <v>2863</v>
      </c>
      <c r="O37" s="58">
        <f t="shared" si="5"/>
        <v>4710</v>
      </c>
      <c r="P37" s="59">
        <f t="shared" si="3"/>
        <v>41420</v>
      </c>
    </row>
    <row r="38" spans="1:16" ht="22.5">
      <c r="A38" s="82"/>
      <c r="B38" s="102"/>
      <c r="C38" s="60" t="s">
        <v>43</v>
      </c>
      <c r="D38" s="47">
        <v>996</v>
      </c>
      <c r="E38" s="47">
        <v>630</v>
      </c>
      <c r="F38" s="47">
        <v>995</v>
      </c>
      <c r="G38" s="47">
        <v>1018</v>
      </c>
      <c r="H38" s="47">
        <v>1748</v>
      </c>
      <c r="I38" s="47">
        <v>1116</v>
      </c>
      <c r="J38" s="47">
        <v>1266</v>
      </c>
      <c r="K38" s="47">
        <v>729</v>
      </c>
      <c r="L38" s="47">
        <v>687</v>
      </c>
      <c r="M38" s="47">
        <v>780</v>
      </c>
      <c r="N38" s="47">
        <v>857</v>
      </c>
      <c r="O38" s="47">
        <v>1714</v>
      </c>
      <c r="P38" s="48">
        <f t="shared" si="3"/>
        <v>12536</v>
      </c>
    </row>
    <row r="39" spans="1:16" ht="33.75">
      <c r="A39" s="82"/>
      <c r="B39" s="102"/>
      <c r="C39" s="61" t="s">
        <v>5</v>
      </c>
      <c r="D39" s="49">
        <v>664</v>
      </c>
      <c r="E39" s="49">
        <v>762</v>
      </c>
      <c r="F39" s="49">
        <v>926</v>
      </c>
      <c r="G39" s="49">
        <v>910</v>
      </c>
      <c r="H39" s="49">
        <v>768</v>
      </c>
      <c r="I39" s="49">
        <v>997</v>
      </c>
      <c r="J39" s="49">
        <v>1109</v>
      </c>
      <c r="K39" s="49">
        <v>776</v>
      </c>
      <c r="L39" s="49">
        <v>600</v>
      </c>
      <c r="M39" s="49">
        <v>831</v>
      </c>
      <c r="N39" s="49">
        <v>660</v>
      </c>
      <c r="O39" s="49">
        <v>954</v>
      </c>
      <c r="P39" s="19">
        <f t="shared" si="3"/>
        <v>9957</v>
      </c>
    </row>
    <row r="40" spans="1:16" ht="22.5">
      <c r="A40" s="82"/>
      <c r="B40" s="102"/>
      <c r="C40" s="61" t="s">
        <v>6</v>
      </c>
      <c r="D40" s="49">
        <v>311</v>
      </c>
      <c r="E40" s="49">
        <v>308</v>
      </c>
      <c r="F40" s="49">
        <v>429</v>
      </c>
      <c r="G40" s="49">
        <v>386</v>
      </c>
      <c r="H40" s="49">
        <v>358</v>
      </c>
      <c r="I40" s="49">
        <v>338</v>
      </c>
      <c r="J40" s="49">
        <v>410</v>
      </c>
      <c r="K40" s="49">
        <v>365</v>
      </c>
      <c r="L40" s="49">
        <v>305</v>
      </c>
      <c r="M40" s="49">
        <v>380</v>
      </c>
      <c r="N40" s="49">
        <v>296</v>
      </c>
      <c r="O40" s="49">
        <v>492</v>
      </c>
      <c r="P40" s="19">
        <f t="shared" si="3"/>
        <v>4378</v>
      </c>
    </row>
    <row r="41" spans="1:16" ht="12.75">
      <c r="A41" s="82"/>
      <c r="B41" s="102"/>
      <c r="C41" s="62" t="s">
        <v>7</v>
      </c>
      <c r="D41" s="49">
        <v>553</v>
      </c>
      <c r="E41" s="49">
        <v>550</v>
      </c>
      <c r="F41" s="49">
        <v>752</v>
      </c>
      <c r="G41" s="49">
        <v>748</v>
      </c>
      <c r="H41" s="49">
        <v>632</v>
      </c>
      <c r="I41" s="49">
        <v>702</v>
      </c>
      <c r="J41" s="49">
        <v>675</v>
      </c>
      <c r="K41" s="49">
        <v>664</v>
      </c>
      <c r="L41" s="49">
        <v>648</v>
      </c>
      <c r="M41" s="49">
        <v>602</v>
      </c>
      <c r="N41" s="49">
        <v>561</v>
      </c>
      <c r="O41" s="49">
        <v>833</v>
      </c>
      <c r="P41" s="19">
        <f t="shared" si="3"/>
        <v>7920</v>
      </c>
    </row>
    <row r="42" spans="1:16" ht="33.75">
      <c r="A42" s="82"/>
      <c r="B42" s="102"/>
      <c r="C42" s="61" t="s">
        <v>45</v>
      </c>
      <c r="D42" s="49">
        <v>115</v>
      </c>
      <c r="E42" s="49">
        <v>95</v>
      </c>
      <c r="F42" s="49">
        <v>156</v>
      </c>
      <c r="G42" s="49">
        <v>114</v>
      </c>
      <c r="H42" s="49">
        <v>126</v>
      </c>
      <c r="I42" s="49">
        <v>152</v>
      </c>
      <c r="J42" s="49">
        <v>153</v>
      </c>
      <c r="K42" s="49">
        <v>122</v>
      </c>
      <c r="L42" s="49">
        <v>107</v>
      </c>
      <c r="M42" s="49">
        <v>267</v>
      </c>
      <c r="N42" s="49">
        <v>119</v>
      </c>
      <c r="O42" s="49">
        <v>173</v>
      </c>
      <c r="P42" s="19">
        <f t="shared" si="3"/>
        <v>1699</v>
      </c>
    </row>
    <row r="43" spans="1:16" ht="33.75">
      <c r="A43" s="82"/>
      <c r="B43" s="102"/>
      <c r="C43" s="61" t="s">
        <v>46</v>
      </c>
      <c r="D43" s="49">
        <v>72</v>
      </c>
      <c r="E43" s="49">
        <v>86</v>
      </c>
      <c r="F43" s="49">
        <v>101</v>
      </c>
      <c r="G43" s="49">
        <v>108</v>
      </c>
      <c r="H43" s="49">
        <v>118</v>
      </c>
      <c r="I43" s="49">
        <v>136</v>
      </c>
      <c r="J43" s="49">
        <v>84</v>
      </c>
      <c r="K43" s="49">
        <v>100</v>
      </c>
      <c r="L43" s="49">
        <v>139</v>
      </c>
      <c r="M43" s="49">
        <v>116</v>
      </c>
      <c r="N43" s="49">
        <v>133</v>
      </c>
      <c r="O43" s="49">
        <v>120</v>
      </c>
      <c r="P43" s="19">
        <f t="shared" si="3"/>
        <v>1313</v>
      </c>
    </row>
    <row r="44" spans="1:16" ht="22.5">
      <c r="A44" s="82"/>
      <c r="B44" s="102"/>
      <c r="C44" s="61" t="s">
        <v>44</v>
      </c>
      <c r="D44" s="49">
        <v>74</v>
      </c>
      <c r="E44" s="49">
        <v>73</v>
      </c>
      <c r="F44" s="49">
        <v>97</v>
      </c>
      <c r="G44" s="49">
        <v>112</v>
      </c>
      <c r="H44" s="49">
        <v>88</v>
      </c>
      <c r="I44" s="49">
        <v>123</v>
      </c>
      <c r="J44" s="49">
        <v>101</v>
      </c>
      <c r="K44" s="49">
        <v>102</v>
      </c>
      <c r="L44" s="49">
        <v>102</v>
      </c>
      <c r="M44" s="49">
        <v>89</v>
      </c>
      <c r="N44" s="49">
        <v>92</v>
      </c>
      <c r="O44" s="49">
        <v>175</v>
      </c>
      <c r="P44" s="19">
        <f t="shared" si="3"/>
        <v>1228</v>
      </c>
    </row>
    <row r="45" spans="1:16" ht="22.5">
      <c r="A45" s="82"/>
      <c r="B45" s="102"/>
      <c r="C45" s="61" t="s">
        <v>8</v>
      </c>
      <c r="D45" s="49">
        <v>90</v>
      </c>
      <c r="E45" s="49">
        <v>154</v>
      </c>
      <c r="F45" s="49">
        <v>129</v>
      </c>
      <c r="G45" s="49">
        <v>98</v>
      </c>
      <c r="H45" s="49">
        <v>111</v>
      </c>
      <c r="I45" s="49">
        <v>163</v>
      </c>
      <c r="J45" s="49">
        <v>165</v>
      </c>
      <c r="K45" s="49">
        <v>120</v>
      </c>
      <c r="L45" s="49">
        <v>103</v>
      </c>
      <c r="M45" s="49">
        <v>102</v>
      </c>
      <c r="N45" s="49">
        <v>85</v>
      </c>
      <c r="O45" s="49">
        <v>155</v>
      </c>
      <c r="P45" s="19">
        <f t="shared" si="3"/>
        <v>1475</v>
      </c>
    </row>
    <row r="46" spans="1:16" ht="23.25" thickBot="1">
      <c r="A46" s="83"/>
      <c r="B46" s="103"/>
      <c r="C46" s="63" t="s">
        <v>9</v>
      </c>
      <c r="D46" s="50">
        <v>55</v>
      </c>
      <c r="E46" s="50">
        <v>57</v>
      </c>
      <c r="F46" s="50">
        <v>76</v>
      </c>
      <c r="G46" s="50">
        <v>110</v>
      </c>
      <c r="H46" s="50">
        <v>63</v>
      </c>
      <c r="I46" s="50">
        <v>70</v>
      </c>
      <c r="J46" s="50">
        <v>75</v>
      </c>
      <c r="K46" s="50">
        <v>88</v>
      </c>
      <c r="L46" s="50">
        <v>62</v>
      </c>
      <c r="M46" s="50">
        <v>104</v>
      </c>
      <c r="N46" s="50">
        <v>60</v>
      </c>
      <c r="O46" s="50">
        <v>94</v>
      </c>
      <c r="P46" s="21">
        <f t="shared" si="3"/>
        <v>914</v>
      </c>
    </row>
  </sheetData>
  <sheetProtection/>
  <mergeCells count="6">
    <mergeCell ref="B37:B46"/>
    <mergeCell ref="A7:A46"/>
    <mergeCell ref="D5:P5"/>
    <mergeCell ref="B7:B16"/>
    <mergeCell ref="B17:B26"/>
    <mergeCell ref="B27:B3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22"/>
  <sheetViews>
    <sheetView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140625" defaultRowHeight="12.75"/>
  <cols>
    <col min="1" max="1" width="3.00390625" style="64" customWidth="1"/>
    <col min="2" max="2" width="6.57421875" style="64" customWidth="1"/>
    <col min="3" max="3" width="20.421875" style="64" customWidth="1"/>
    <col min="4" max="16" width="6.28125" style="64" customWidth="1"/>
    <col min="17" max="16384" width="9.140625" style="64" customWidth="1"/>
  </cols>
  <sheetData>
    <row r="1" spans="1:8" ht="18.75">
      <c r="A1" s="3" t="s">
        <v>50</v>
      </c>
      <c r="B1" s="2"/>
      <c r="C1" s="13"/>
      <c r="D1" s="2"/>
      <c r="E1" s="2"/>
      <c r="F1" s="2"/>
      <c r="G1" s="2"/>
      <c r="H1" s="2"/>
    </row>
    <row r="2" spans="1:8" ht="12.75">
      <c r="A2" s="9" t="s">
        <v>1</v>
      </c>
      <c r="B2" s="1"/>
      <c r="C2" s="15"/>
      <c r="D2" s="1"/>
      <c r="E2" s="1"/>
      <c r="F2" s="1"/>
      <c r="G2" s="1"/>
      <c r="H2" s="1"/>
    </row>
    <row r="3" ht="12.75">
      <c r="A3" s="2" t="s">
        <v>0</v>
      </c>
    </row>
    <row r="4" ht="13.5" thickBot="1"/>
    <row r="5" spans="1:16" ht="13.5" thickBot="1">
      <c r="A5" s="4"/>
      <c r="B5" s="4"/>
      <c r="C5" s="14"/>
      <c r="D5" s="84">
        <v>2010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84" thickBot="1">
      <c r="A6" s="4"/>
      <c r="B6" s="4"/>
      <c r="C6" s="14"/>
      <c r="D6" s="18" t="s">
        <v>26</v>
      </c>
      <c r="E6" s="18" t="s">
        <v>27</v>
      </c>
      <c r="F6" s="18" t="s">
        <v>28</v>
      </c>
      <c r="G6" s="18" t="s">
        <v>34</v>
      </c>
      <c r="H6" s="18" t="s">
        <v>35</v>
      </c>
      <c r="I6" s="18" t="s">
        <v>36</v>
      </c>
      <c r="J6" s="18" t="s">
        <v>37</v>
      </c>
      <c r="K6" s="18" t="s">
        <v>38</v>
      </c>
      <c r="L6" s="18" t="s">
        <v>39</v>
      </c>
      <c r="M6" s="18" t="s">
        <v>40</v>
      </c>
      <c r="N6" s="18" t="s">
        <v>41</v>
      </c>
      <c r="O6" s="18" t="s">
        <v>42</v>
      </c>
      <c r="P6" s="18" t="s">
        <v>56</v>
      </c>
    </row>
    <row r="7" spans="1:16" ht="30" customHeight="1" thickBot="1">
      <c r="A7" s="78" t="s">
        <v>18</v>
      </c>
      <c r="B7" s="88" t="s">
        <v>4</v>
      </c>
      <c r="C7" s="65" t="s">
        <v>33</v>
      </c>
      <c r="D7" s="66">
        <f>SUM(D8:D14)</f>
        <v>3179</v>
      </c>
      <c r="E7" s="66">
        <f aca="true" t="shared" si="0" ref="E7:O7">SUM(E8:E14)</f>
        <v>3445</v>
      </c>
      <c r="F7" s="66">
        <f t="shared" si="0"/>
        <v>3608</v>
      </c>
      <c r="G7" s="66">
        <f t="shared" si="0"/>
        <v>2941</v>
      </c>
      <c r="H7" s="66">
        <f t="shared" si="0"/>
        <v>2333</v>
      </c>
      <c r="I7" s="66">
        <f t="shared" si="0"/>
        <v>3200</v>
      </c>
      <c r="J7" s="66">
        <f t="shared" si="0"/>
        <v>4629</v>
      </c>
      <c r="K7" s="66">
        <f t="shared" si="0"/>
        <v>3058</v>
      </c>
      <c r="L7" s="66">
        <f t="shared" si="0"/>
        <v>3254</v>
      </c>
      <c r="M7" s="66">
        <f t="shared" si="0"/>
        <v>3283</v>
      </c>
      <c r="N7" s="66">
        <f t="shared" si="0"/>
        <v>4130</v>
      </c>
      <c r="O7" s="66">
        <f t="shared" si="0"/>
        <v>4719</v>
      </c>
      <c r="P7" s="67">
        <f>SUM(D7:O7)</f>
        <v>41779</v>
      </c>
    </row>
    <row r="8" spans="1:16" ht="52.5" customHeight="1">
      <c r="A8" s="79"/>
      <c r="B8" s="89"/>
      <c r="C8" s="68" t="s">
        <v>19</v>
      </c>
      <c r="D8" s="38">
        <f>37+3+193+2</f>
        <v>235</v>
      </c>
      <c r="E8" s="38">
        <f>30+1+170</f>
        <v>201</v>
      </c>
      <c r="F8" s="38">
        <f>46+3+271+1</f>
        <v>321</v>
      </c>
      <c r="G8" s="38">
        <f>24+4+167+1</f>
        <v>196</v>
      </c>
      <c r="H8" s="38">
        <f>25+3+172+2</f>
        <v>202</v>
      </c>
      <c r="I8" s="38">
        <f>32+189+1+2</f>
        <v>224</v>
      </c>
      <c r="J8" s="38">
        <f>39+235</f>
        <v>274</v>
      </c>
      <c r="K8" s="38">
        <f>34+242+2</f>
        <v>278</v>
      </c>
      <c r="L8" s="38">
        <f>34+253</f>
        <v>287</v>
      </c>
      <c r="M8" s="38">
        <f>26+206+3+3</f>
        <v>238</v>
      </c>
      <c r="N8" s="38">
        <f>22+175</f>
        <v>197</v>
      </c>
      <c r="O8" s="38">
        <f>40+249+4</f>
        <v>293</v>
      </c>
      <c r="P8" s="39">
        <f aca="true" t="shared" si="1" ref="P8:P22">SUM(D8:O8)</f>
        <v>2946</v>
      </c>
    </row>
    <row r="9" spans="1:16" ht="40.5" customHeight="1">
      <c r="A9" s="79"/>
      <c r="B9" s="89"/>
      <c r="C9" s="40" t="s">
        <v>11</v>
      </c>
      <c r="D9" s="32">
        <v>5</v>
      </c>
      <c r="E9" s="32">
        <v>2</v>
      </c>
      <c r="F9" s="32">
        <v>10</v>
      </c>
      <c r="G9" s="32">
        <v>10</v>
      </c>
      <c r="H9" s="32">
        <v>6</v>
      </c>
      <c r="I9" s="32">
        <v>12</v>
      </c>
      <c r="J9" s="32">
        <v>11</v>
      </c>
      <c r="K9" s="32">
        <v>14</v>
      </c>
      <c r="L9" s="32">
        <v>20</v>
      </c>
      <c r="M9" s="32">
        <v>11</v>
      </c>
      <c r="N9" s="32">
        <v>8</v>
      </c>
      <c r="O9" s="32">
        <v>8</v>
      </c>
      <c r="P9" s="24">
        <f t="shared" si="1"/>
        <v>117</v>
      </c>
    </row>
    <row r="10" spans="1:16" ht="30" customHeight="1">
      <c r="A10" s="79"/>
      <c r="B10" s="89"/>
      <c r="C10" s="40" t="s">
        <v>20</v>
      </c>
      <c r="D10" s="32">
        <v>1</v>
      </c>
      <c r="E10" s="32">
        <v>1</v>
      </c>
      <c r="F10" s="32">
        <v>4</v>
      </c>
      <c r="G10" s="32">
        <v>2</v>
      </c>
      <c r="H10" s="32">
        <v>4</v>
      </c>
      <c r="I10" s="32">
        <v>2</v>
      </c>
      <c r="J10" s="32">
        <v>2</v>
      </c>
      <c r="K10" s="32">
        <v>4</v>
      </c>
      <c r="L10" s="32">
        <v>1</v>
      </c>
      <c r="M10" s="32">
        <v>8</v>
      </c>
      <c r="N10" s="32">
        <v>1</v>
      </c>
      <c r="O10" s="32">
        <v>2</v>
      </c>
      <c r="P10" s="24">
        <f t="shared" si="1"/>
        <v>32</v>
      </c>
    </row>
    <row r="11" spans="1:16" ht="30" customHeight="1">
      <c r="A11" s="79"/>
      <c r="B11" s="89"/>
      <c r="C11" s="40" t="s">
        <v>21</v>
      </c>
      <c r="D11" s="32">
        <v>4</v>
      </c>
      <c r="E11" s="32">
        <v>1</v>
      </c>
      <c r="F11" s="32">
        <v>2</v>
      </c>
      <c r="G11" s="32">
        <v>0</v>
      </c>
      <c r="H11" s="32">
        <v>7</v>
      </c>
      <c r="I11" s="32">
        <v>0</v>
      </c>
      <c r="J11" s="32">
        <v>1</v>
      </c>
      <c r="K11" s="32">
        <v>0</v>
      </c>
      <c r="L11" s="32">
        <v>0</v>
      </c>
      <c r="M11" s="32">
        <v>0</v>
      </c>
      <c r="N11" s="32">
        <v>1</v>
      </c>
      <c r="O11" s="32">
        <v>0</v>
      </c>
      <c r="P11" s="24">
        <f t="shared" si="1"/>
        <v>16</v>
      </c>
    </row>
    <row r="12" spans="1:16" ht="30" customHeight="1">
      <c r="A12" s="79"/>
      <c r="B12" s="89"/>
      <c r="C12" s="40" t="s">
        <v>22</v>
      </c>
      <c r="D12" s="32">
        <v>1</v>
      </c>
      <c r="E12" s="32">
        <v>3</v>
      </c>
      <c r="F12" s="32">
        <v>0</v>
      </c>
      <c r="G12" s="32">
        <v>3</v>
      </c>
      <c r="H12" s="32">
        <v>1</v>
      </c>
      <c r="I12" s="32">
        <v>0</v>
      </c>
      <c r="J12" s="32">
        <v>2</v>
      </c>
      <c r="K12" s="32">
        <v>4</v>
      </c>
      <c r="L12" s="32">
        <v>5</v>
      </c>
      <c r="M12" s="32">
        <v>1</v>
      </c>
      <c r="N12" s="32">
        <v>1</v>
      </c>
      <c r="O12" s="32">
        <v>2</v>
      </c>
      <c r="P12" s="24">
        <f t="shared" si="1"/>
        <v>23</v>
      </c>
    </row>
    <row r="13" spans="1:16" ht="30" customHeight="1">
      <c r="A13" s="79"/>
      <c r="B13" s="89"/>
      <c r="C13" s="40" t="s">
        <v>23</v>
      </c>
      <c r="D13" s="32">
        <v>1732</v>
      </c>
      <c r="E13" s="32">
        <v>1959</v>
      </c>
      <c r="F13" s="32">
        <v>2063</v>
      </c>
      <c r="G13" s="32">
        <v>1636</v>
      </c>
      <c r="H13" s="32">
        <v>1122</v>
      </c>
      <c r="I13" s="32">
        <v>1821</v>
      </c>
      <c r="J13" s="32">
        <v>2550</v>
      </c>
      <c r="K13" s="32">
        <v>1696</v>
      </c>
      <c r="L13" s="32">
        <v>1745</v>
      </c>
      <c r="M13" s="32">
        <v>1828</v>
      </c>
      <c r="N13" s="32">
        <v>2143</v>
      </c>
      <c r="O13" s="32">
        <v>2580</v>
      </c>
      <c r="P13" s="24">
        <f t="shared" si="1"/>
        <v>22875</v>
      </c>
    </row>
    <row r="14" spans="1:16" ht="33.75" customHeight="1" thickBot="1">
      <c r="A14" s="79"/>
      <c r="B14" s="90"/>
      <c r="C14" s="42" t="s">
        <v>24</v>
      </c>
      <c r="D14" s="35">
        <v>1201</v>
      </c>
      <c r="E14" s="35">
        <v>1278</v>
      </c>
      <c r="F14" s="35">
        <v>1208</v>
      </c>
      <c r="G14" s="35">
        <v>1094</v>
      </c>
      <c r="H14" s="35">
        <v>991</v>
      </c>
      <c r="I14" s="35">
        <v>1141</v>
      </c>
      <c r="J14" s="35">
        <v>1789</v>
      </c>
      <c r="K14" s="35">
        <v>1062</v>
      </c>
      <c r="L14" s="35">
        <v>1196</v>
      </c>
      <c r="M14" s="35">
        <v>1197</v>
      </c>
      <c r="N14" s="35">
        <v>1779</v>
      </c>
      <c r="O14" s="35">
        <v>1834</v>
      </c>
      <c r="P14" s="25">
        <f t="shared" si="1"/>
        <v>15770</v>
      </c>
    </row>
    <row r="15" spans="1:16" ht="30" customHeight="1" thickBot="1">
      <c r="A15" s="79"/>
      <c r="B15" s="85" t="s">
        <v>25</v>
      </c>
      <c r="C15" s="17" t="s">
        <v>33</v>
      </c>
      <c r="D15" s="69">
        <f>SUM(D16:D19)</f>
        <v>10232</v>
      </c>
      <c r="E15" s="69">
        <f aca="true" t="shared" si="2" ref="E15:O15">SUM(E16:E19)</f>
        <v>9972</v>
      </c>
      <c r="F15" s="69">
        <f t="shared" si="2"/>
        <v>13297</v>
      </c>
      <c r="G15" s="69">
        <f t="shared" si="2"/>
        <v>11069.355</v>
      </c>
      <c r="H15" s="69">
        <f t="shared" si="2"/>
        <v>5363.72</v>
      </c>
      <c r="I15" s="69">
        <f t="shared" si="2"/>
        <v>9242</v>
      </c>
      <c r="J15" s="69">
        <f t="shared" si="2"/>
        <v>9589</v>
      </c>
      <c r="K15" s="69">
        <f t="shared" si="2"/>
        <v>6008</v>
      </c>
      <c r="L15" s="69">
        <f t="shared" si="2"/>
        <v>32732</v>
      </c>
      <c r="M15" s="69">
        <f t="shared" si="2"/>
        <v>8372</v>
      </c>
      <c r="N15" s="69">
        <f t="shared" si="2"/>
        <v>5292</v>
      </c>
      <c r="O15" s="69">
        <f t="shared" si="2"/>
        <v>12892</v>
      </c>
      <c r="P15" s="70">
        <f t="shared" si="1"/>
        <v>134061.075</v>
      </c>
    </row>
    <row r="16" spans="1:16" ht="51.75" customHeight="1">
      <c r="A16" s="79"/>
      <c r="B16" s="86"/>
      <c r="C16" s="68" t="s">
        <v>19</v>
      </c>
      <c r="D16" s="38">
        <v>7628</v>
      </c>
      <c r="E16" s="38">
        <v>9287</v>
      </c>
      <c r="F16" s="38">
        <v>11882</v>
      </c>
      <c r="G16" s="38">
        <v>10075</v>
      </c>
      <c r="H16" s="38">
        <v>4609</v>
      </c>
      <c r="I16" s="38">
        <v>7812</v>
      </c>
      <c r="J16" s="38">
        <v>8737</v>
      </c>
      <c r="K16" s="38">
        <v>4447</v>
      </c>
      <c r="L16" s="38">
        <v>29112</v>
      </c>
      <c r="M16" s="38">
        <v>6892</v>
      </c>
      <c r="N16" s="38">
        <v>3240</v>
      </c>
      <c r="O16" s="38">
        <v>11922</v>
      </c>
      <c r="P16" s="39">
        <f t="shared" si="1"/>
        <v>115643</v>
      </c>
    </row>
    <row r="17" spans="1:16" ht="42.75" customHeight="1">
      <c r="A17" s="79"/>
      <c r="B17" s="86"/>
      <c r="C17" s="40" t="s">
        <v>11</v>
      </c>
      <c r="D17" s="32">
        <v>1980</v>
      </c>
      <c r="E17" s="32">
        <v>93</v>
      </c>
      <c r="F17" s="32">
        <v>75</v>
      </c>
      <c r="G17" s="32">
        <v>353</v>
      </c>
      <c r="H17" s="32">
        <v>381</v>
      </c>
      <c r="I17" s="32">
        <v>297</v>
      </c>
      <c r="J17" s="32">
        <v>293</v>
      </c>
      <c r="K17" s="32">
        <v>410</v>
      </c>
      <c r="L17" s="32">
        <v>1640</v>
      </c>
      <c r="M17" s="32">
        <v>929</v>
      </c>
      <c r="N17" s="32">
        <v>1662</v>
      </c>
      <c r="O17" s="32">
        <v>262</v>
      </c>
      <c r="P17" s="24">
        <f t="shared" si="1"/>
        <v>8375</v>
      </c>
    </row>
    <row r="18" spans="1:16" ht="44.25" customHeight="1">
      <c r="A18" s="79"/>
      <c r="B18" s="86"/>
      <c r="C18" s="40" t="s">
        <v>20</v>
      </c>
      <c r="D18" s="32">
        <v>362</v>
      </c>
      <c r="E18" s="32">
        <v>30</v>
      </c>
      <c r="F18" s="32">
        <v>618</v>
      </c>
      <c r="G18" s="32">
        <v>0.355</v>
      </c>
      <c r="H18" s="32">
        <v>0.72</v>
      </c>
      <c r="I18" s="32">
        <v>581</v>
      </c>
      <c r="J18" s="32">
        <v>0</v>
      </c>
      <c r="K18" s="32">
        <v>94</v>
      </c>
      <c r="L18" s="32">
        <v>124</v>
      </c>
      <c r="M18" s="32">
        <v>75</v>
      </c>
      <c r="N18" s="32">
        <v>41</v>
      </c>
      <c r="O18" s="32">
        <v>0</v>
      </c>
      <c r="P18" s="24">
        <f t="shared" si="1"/>
        <v>1926.075</v>
      </c>
    </row>
    <row r="19" spans="1:16" ht="30" customHeight="1">
      <c r="A19" s="79"/>
      <c r="B19" s="86"/>
      <c r="C19" s="40" t="s">
        <v>29</v>
      </c>
      <c r="D19" s="32">
        <v>262</v>
      </c>
      <c r="E19" s="32">
        <v>562</v>
      </c>
      <c r="F19" s="32">
        <v>722</v>
      </c>
      <c r="G19" s="32">
        <v>641</v>
      </c>
      <c r="H19" s="32">
        <v>373</v>
      </c>
      <c r="I19" s="32">
        <v>552</v>
      </c>
      <c r="J19" s="32">
        <v>559</v>
      </c>
      <c r="K19" s="32">
        <v>1057</v>
      </c>
      <c r="L19" s="32">
        <v>1856</v>
      </c>
      <c r="M19" s="32">
        <v>476</v>
      </c>
      <c r="N19" s="32">
        <v>349</v>
      </c>
      <c r="O19" s="32">
        <v>708</v>
      </c>
      <c r="P19" s="24">
        <f t="shared" si="1"/>
        <v>8117</v>
      </c>
    </row>
    <row r="20" spans="1:16" ht="33.75">
      <c r="A20" s="79"/>
      <c r="B20" s="86"/>
      <c r="C20" s="71" t="s">
        <v>30</v>
      </c>
      <c r="D20" s="72">
        <v>1</v>
      </c>
      <c r="E20" s="72">
        <v>3</v>
      </c>
      <c r="F20" s="72">
        <v>2</v>
      </c>
      <c r="G20" s="72">
        <v>2</v>
      </c>
      <c r="H20" s="72">
        <v>1</v>
      </c>
      <c r="I20" s="72">
        <v>2</v>
      </c>
      <c r="J20" s="72">
        <v>1</v>
      </c>
      <c r="K20" s="72">
        <v>1</v>
      </c>
      <c r="L20" s="72">
        <v>1</v>
      </c>
      <c r="M20" s="72">
        <v>3</v>
      </c>
      <c r="N20" s="72">
        <v>2</v>
      </c>
      <c r="O20" s="72">
        <v>2</v>
      </c>
      <c r="P20" s="24">
        <f t="shared" si="1"/>
        <v>21</v>
      </c>
    </row>
    <row r="21" spans="1:16" ht="45">
      <c r="A21" s="79"/>
      <c r="B21" s="86"/>
      <c r="C21" s="71" t="s">
        <v>31</v>
      </c>
      <c r="D21" s="72">
        <v>418</v>
      </c>
      <c r="E21" s="72">
        <v>488</v>
      </c>
      <c r="F21" s="72">
        <v>457</v>
      </c>
      <c r="G21" s="72">
        <v>572</v>
      </c>
      <c r="H21" s="72">
        <v>281</v>
      </c>
      <c r="I21" s="72">
        <v>460</v>
      </c>
      <c r="J21" s="72">
        <v>537</v>
      </c>
      <c r="K21" s="72">
        <v>674</v>
      </c>
      <c r="L21" s="72">
        <v>1619</v>
      </c>
      <c r="M21" s="72">
        <v>318</v>
      </c>
      <c r="N21" s="72">
        <v>305</v>
      </c>
      <c r="O21" s="72">
        <v>691</v>
      </c>
      <c r="P21" s="24">
        <f t="shared" si="1"/>
        <v>6820</v>
      </c>
    </row>
    <row r="22" spans="1:16" ht="34.5" thickBot="1">
      <c r="A22" s="80"/>
      <c r="B22" s="87"/>
      <c r="C22" s="73" t="s">
        <v>32</v>
      </c>
      <c r="D22" s="74">
        <v>4</v>
      </c>
      <c r="E22" s="74">
        <v>2</v>
      </c>
      <c r="F22" s="74">
        <v>12</v>
      </c>
      <c r="G22" s="74">
        <v>2.5</v>
      </c>
      <c r="H22" s="74">
        <v>2.7</v>
      </c>
      <c r="I22" s="74">
        <v>3</v>
      </c>
      <c r="J22" s="74">
        <v>7</v>
      </c>
      <c r="K22" s="74">
        <v>16</v>
      </c>
      <c r="L22" s="74">
        <v>5</v>
      </c>
      <c r="M22" s="74">
        <v>5</v>
      </c>
      <c r="N22" s="74">
        <v>4</v>
      </c>
      <c r="O22" s="74">
        <v>11</v>
      </c>
      <c r="P22" s="25">
        <f t="shared" si="1"/>
        <v>74.2</v>
      </c>
    </row>
  </sheetData>
  <sheetProtection/>
  <mergeCells count="4">
    <mergeCell ref="D5:P5"/>
    <mergeCell ref="B7:B14"/>
    <mergeCell ref="A7:A22"/>
    <mergeCell ref="B15:B22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2009-02-24T09:49:48Z</cp:lastPrinted>
  <dcterms:created xsi:type="dcterms:W3CDTF">2006-02-24T09:38:25Z</dcterms:created>
  <dcterms:modified xsi:type="dcterms:W3CDTF">2011-12-09T11:48:18Z</dcterms:modified>
  <cp:category/>
  <cp:version/>
  <cp:contentType/>
  <cp:contentStatus/>
</cp:coreProperties>
</file>