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320" windowHeight="4890" tabRatio="601" activeTab="0"/>
  </bookViews>
  <sheets>
    <sheet name="7." sheetId="1" r:id="rId1"/>
    <sheet name="7.1" sheetId="2" r:id="rId2"/>
    <sheet name="7.1a" sheetId="3" r:id="rId3"/>
    <sheet name="7.1b" sheetId="4" r:id="rId4"/>
    <sheet name="7.1c" sheetId="5" r:id="rId5"/>
    <sheet name="7.2" sheetId="6" r:id="rId6"/>
    <sheet name="7.3" sheetId="7" r:id="rId7"/>
    <sheet name="7.4" sheetId="8" r:id="rId8"/>
    <sheet name="7.5" sheetId="9" r:id="rId9"/>
    <sheet name="7.6-7" sheetId="10" r:id="rId10"/>
    <sheet name="7.8" sheetId="11" r:id="rId11"/>
    <sheet name="7.9-10" sheetId="12" r:id="rId12"/>
    <sheet name="7.11" sheetId="13" r:id="rId13"/>
    <sheet name="7.12" sheetId="14" r:id="rId14"/>
    <sheet name="7.13-15" sheetId="15" r:id="rId15"/>
    <sheet name="7.16-17" sheetId="16" r:id="rId16"/>
  </sheets>
  <definedNames/>
  <calcPr fullCalcOnLoad="1"/>
</workbook>
</file>

<file path=xl/sharedStrings.xml><?xml version="1.0" encoding="utf-8"?>
<sst xmlns="http://schemas.openxmlformats.org/spreadsheetml/2006/main" count="1114" uniqueCount="193">
  <si>
    <t>Total</t>
  </si>
  <si>
    <t>1-120</t>
  </si>
  <si>
    <t>121-200</t>
  </si>
  <si>
    <t>201-300</t>
  </si>
  <si>
    <t>&gt; 300</t>
  </si>
  <si>
    <t>Total transactions</t>
  </si>
  <si>
    <t>&lt;100</t>
  </si>
  <si>
    <t>101-150</t>
  </si>
  <si>
    <t>151-200</t>
  </si>
  <si>
    <t>301-400</t>
  </si>
  <si>
    <t>&gt;400</t>
  </si>
  <si>
    <t>Table made by CAS</t>
  </si>
  <si>
    <t>January</t>
  </si>
  <si>
    <t>Febraury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</si>
  <si>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</si>
  <si>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</si>
  <si>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</si>
  <si>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</si>
  <si>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</si>
  <si>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</si>
  <si>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</si>
  <si>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</si>
  <si>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</si>
  <si>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</si>
  <si>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2009</t>
  </si>
  <si>
    <t>Beirut</t>
  </si>
  <si>
    <t>North Lebanon</t>
  </si>
  <si>
    <t>Tripoli</t>
  </si>
  <si>
    <t>Bekaa</t>
  </si>
  <si>
    <t>South Lebanon</t>
  </si>
  <si>
    <t>Nabatiyeh</t>
  </si>
  <si>
    <t>Construction</t>
  </si>
  <si>
    <t>Source : Orders of Engineers in Beirut &amp; Tripoli</t>
  </si>
  <si>
    <t xml:space="preserve"> Table made by CAS</t>
  </si>
  <si>
    <t>Mount-Lebanon</t>
  </si>
  <si>
    <t>Other Regions</t>
  </si>
  <si>
    <t>Permits</t>
  </si>
  <si>
    <t>Permits, Apartments and areas in North-Lebanon</t>
  </si>
  <si>
    <t>Mina</t>
  </si>
  <si>
    <t>Annexes</t>
  </si>
  <si>
    <t>North-Lebanon</t>
  </si>
  <si>
    <t>Outside North-Lebanon</t>
  </si>
  <si>
    <t>Floor</t>
  </si>
  <si>
    <t>Apartment</t>
  </si>
  <si>
    <t>Transactions</t>
  </si>
  <si>
    <t>Miscellaneous</t>
  </si>
  <si>
    <t>Mohafazat</t>
  </si>
  <si>
    <t>Total 1996</t>
  </si>
  <si>
    <t>Total 1997</t>
  </si>
  <si>
    <t>Total 1998</t>
  </si>
  <si>
    <t>Total 1999</t>
  </si>
  <si>
    <t>Total 2000</t>
  </si>
  <si>
    <t>Total 2001</t>
  </si>
  <si>
    <t>Total 2002</t>
  </si>
  <si>
    <t>Total 2003</t>
  </si>
  <si>
    <t>Total 2004</t>
  </si>
  <si>
    <t>Total 2005</t>
  </si>
  <si>
    <t>Total 2006</t>
  </si>
  <si>
    <t>Total 2007</t>
  </si>
  <si>
    <t>Total 2008</t>
  </si>
  <si>
    <t>Total 1996-2009</t>
  </si>
  <si>
    <t>Transactions of construction permits</t>
  </si>
  <si>
    <t>Declaration transactions</t>
  </si>
  <si>
    <t>Transaction type</t>
  </si>
  <si>
    <t>Construction permit</t>
  </si>
  <si>
    <t>Constructing</t>
  </si>
  <si>
    <t>Constructing and construction</t>
  </si>
  <si>
    <t>Construction and fence</t>
  </si>
  <si>
    <t>Addition</t>
  </si>
  <si>
    <t>Modification</t>
  </si>
  <si>
    <t>Addition and modification</t>
  </si>
  <si>
    <t>Modification and housing</t>
  </si>
  <si>
    <t>Settlement</t>
  </si>
  <si>
    <t>Settlement and housing</t>
  </si>
  <si>
    <t>Housing</t>
  </si>
  <si>
    <t>Investment</t>
  </si>
  <si>
    <t>Statement permit</t>
  </si>
  <si>
    <t>Fence</t>
  </si>
  <si>
    <t>Demolition</t>
  </si>
  <si>
    <t>Excavation and consolidation</t>
  </si>
  <si>
    <t>Restoration</t>
  </si>
  <si>
    <t>Internal modification and restoration</t>
  </si>
  <si>
    <t>Restoration and housing</t>
  </si>
  <si>
    <t>Number</t>
  </si>
  <si>
    <t>Dwelling type</t>
  </si>
  <si>
    <t>Percentage</t>
  </si>
  <si>
    <t>Luxurious</t>
  </si>
  <si>
    <t>Good</t>
  </si>
  <si>
    <t>Medium</t>
  </si>
  <si>
    <t>Popular</t>
  </si>
  <si>
    <t>Villa</t>
  </si>
  <si>
    <t>Transactions number</t>
  </si>
  <si>
    <t>Type of use</t>
  </si>
  <si>
    <t>Source:  Order of Engineers - Beirut</t>
  </si>
  <si>
    <t>Residential building</t>
  </si>
  <si>
    <t xml:space="preserve"> Trade building</t>
  </si>
  <si>
    <t>Tourism services buildings and hotels</t>
  </si>
  <si>
    <t>General services buildings (schools and hospitals, etc.)</t>
  </si>
  <si>
    <t>Miscellaneous uses</t>
  </si>
  <si>
    <t>Trade building</t>
  </si>
  <si>
    <t>Transaction number</t>
  </si>
  <si>
    <t>Show limits</t>
  </si>
  <si>
    <t>Levels</t>
  </si>
  <si>
    <t>Measurement</t>
  </si>
  <si>
    <t>Basing a construction</t>
  </si>
  <si>
    <t>Show limits and levels</t>
  </si>
  <si>
    <t>Show limits and measurements</t>
  </si>
  <si>
    <t>Show limits and base a construction</t>
  </si>
  <si>
    <t>Levels and measurements</t>
  </si>
  <si>
    <t>Basing a well</t>
  </si>
  <si>
    <t>Sorting</t>
  </si>
  <si>
    <t>Complication degree</t>
  </si>
  <si>
    <t>Total in square meters</t>
  </si>
  <si>
    <t>Simple/service</t>
  </si>
  <si>
    <t>Medium/normal</t>
  </si>
  <si>
    <t>Demanding  / luxurious</t>
  </si>
  <si>
    <t>Number of units</t>
  </si>
  <si>
    <t>Individual dwellings</t>
  </si>
  <si>
    <t>Castle</t>
  </si>
  <si>
    <t>Service residential building</t>
  </si>
  <si>
    <t>Luxurious residential building</t>
  </si>
  <si>
    <t>Service-compounds</t>
  </si>
  <si>
    <t>Luxury residential complexes</t>
  </si>
  <si>
    <t>Individual residences</t>
  </si>
  <si>
    <t>Source : Real-estate service of Cazas</t>
  </si>
  <si>
    <t>Baabda Aaley Chouf</t>
  </si>
  <si>
    <t>Sales, donations and successions</t>
  </si>
  <si>
    <t>Kesrouan Jbayl</t>
  </si>
  <si>
    <t>Matn</t>
  </si>
  <si>
    <t>North Lebanon 1</t>
  </si>
  <si>
    <t>North Lebanon 2</t>
  </si>
  <si>
    <t>Real estate mortagages</t>
  </si>
  <si>
    <t>Levied mortagages</t>
  </si>
  <si>
    <t>Seize</t>
  </si>
  <si>
    <t>Levied seize</t>
  </si>
  <si>
    <t>Real estate</t>
  </si>
  <si>
    <t>Transactions &amp; contracts</t>
  </si>
  <si>
    <t>Instead of lost</t>
  </si>
  <si>
    <t>Main taxes</t>
  </si>
  <si>
    <t>Taxes</t>
  </si>
  <si>
    <t>Taxes paid by foreigners</t>
  </si>
  <si>
    <t>Received taxes in sale contracts</t>
  </si>
  <si>
    <t>Received municipal tax</t>
  </si>
  <si>
    <t>Sales, donations &amp; successions</t>
  </si>
  <si>
    <t>Real-estate mortagages</t>
  </si>
  <si>
    <t>Seizes</t>
  </si>
  <si>
    <t>Levied seizes</t>
  </si>
  <si>
    <t>Real-estate</t>
  </si>
  <si>
    <t>7. REAL ESTATE</t>
  </si>
  <si>
    <t>Jan.</t>
  </si>
  <si>
    <t>Feb.</t>
  </si>
  <si>
    <t>Aug.</t>
  </si>
  <si>
    <t>Sep.</t>
  </si>
  <si>
    <t>Oct.</t>
  </si>
  <si>
    <t>Nov.</t>
  </si>
  <si>
    <t>Dec.</t>
  </si>
  <si>
    <t>Table 7.1 - Real-estate transactions</t>
  </si>
  <si>
    <t>Table 7.1 - Real-estate transactions - Cont. 1</t>
  </si>
  <si>
    <t>Table 7.1 - Real estate transactions - Cont. 2</t>
  </si>
  <si>
    <t>Table 7.1 - Real-estate transactions - Cont. 3</t>
  </si>
  <si>
    <t>Table 7.2 - Real-Estate court</t>
  </si>
  <si>
    <t>Table 7.3 - Construction permits</t>
  </si>
  <si>
    <t>Areas. 1 000 sq. meters</t>
  </si>
  <si>
    <t>Table 7.4 - Construction  permits. Square meters (1996 - 2009)</t>
  </si>
  <si>
    <t>Table 7.4 - Construction  permits. Square meters (1996 - 2009) - Cont. 1</t>
  </si>
  <si>
    <t>Table 7.4 - Construction  permits. Square meters (1996 - 2009) - Cont. 2</t>
  </si>
  <si>
    <t>Table 7.4 - Construction  permits. Square meters (1996 - 2009) - Cont. 3</t>
  </si>
  <si>
    <t>Table 7.5 - Construction permits. Transactions (1996 - 2009)</t>
  </si>
  <si>
    <t>Table 7.5 - Construction permits. Transactions (1996 - 2009) - Cont. 1</t>
  </si>
  <si>
    <t>Table 7.5 - Construction permits. Transactions (1996 - 2009) - Cont. 2</t>
  </si>
  <si>
    <t>Table 7.5 - Construction permits. Transactions (1996 - 2009) - Cont. 3</t>
  </si>
  <si>
    <t>Table 7.6 - Construction transactions</t>
  </si>
  <si>
    <t>Table 7.9 - Dwellings holding a habitation permit</t>
  </si>
  <si>
    <t>Value. Million LBP</t>
  </si>
  <si>
    <t>Order of Beirut</t>
  </si>
  <si>
    <t>Order of Tripoli</t>
  </si>
  <si>
    <t>Area. Square meters</t>
  </si>
  <si>
    <t>Area. Sq. meters</t>
  </si>
  <si>
    <t>Area. Sq. meter</t>
  </si>
  <si>
    <t>Economic services buildings (agriculture, industry)</t>
  </si>
  <si>
    <t>Table 7.15 - Residential buildings in 2009</t>
  </si>
  <si>
    <t>%</t>
  </si>
  <si>
    <t>Table 7.7 - Achieved transactions by type. Number</t>
  </si>
  <si>
    <t>Table 7.8 - Residential transaction permits. Quality and Mohafazat</t>
  </si>
  <si>
    <t>Table 7.10 - Transactions for execution. Registered and done</t>
  </si>
  <si>
    <t>Table 7.11 - Construction areas. Type of use</t>
  </si>
  <si>
    <t>Table 7.12 - Construction areas. Type of use and Mohafazat (2006-2009)</t>
  </si>
  <si>
    <t xml:space="preserve">Table 7.12 - Construction areas. Type of use and Mohafazat (2006-2009) - Cont.1 </t>
  </si>
  <si>
    <t>Table 7.13 - Registered and executed areas. Transactions by type</t>
  </si>
  <si>
    <t>Table 7.14 - Sorted and registered real-estate. Area in square meters</t>
  </si>
  <si>
    <t>Table 7.16 - Residential construction permits according to the degrees of complication by Mohafazat. Square meters</t>
  </si>
  <si>
    <t>Square meters</t>
  </si>
  <si>
    <t>Table 7.17 - Residential units by type and Mohafazat. Number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</si>
</sst>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0.0000000000"/>
  </numFmts>
  <fonts count="56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horizontal="right" vertical="center" readingOrder="1"/>
    </xf>
    <xf numFmtId="0" fontId="5" fillId="0" borderId="0" xfId="0" applyFont="1" applyFill="1" applyAlignment="1">
      <alignment horizontal="center" vertical="center" readingOrder="1"/>
    </xf>
    <xf numFmtId="0" fontId="5" fillId="0" borderId="0" xfId="0" applyFont="1" applyFill="1" applyBorder="1" applyAlignment="1">
      <alignment vertical="center" readingOrder="1"/>
    </xf>
    <xf numFmtId="0" fontId="5" fillId="0" borderId="0" xfId="0" applyFont="1" applyFill="1" applyAlignment="1">
      <alignment horizontal="right" vertical="center" readingOrder="1"/>
    </xf>
    <xf numFmtId="0" fontId="14" fillId="0" borderId="0" xfId="0" applyFont="1" applyFill="1" applyBorder="1" applyAlignment="1">
      <alignment horizontal="center" vertical="center" readingOrder="1"/>
    </xf>
    <xf numFmtId="0" fontId="10" fillId="0" borderId="0" xfId="0" applyFont="1" applyFill="1" applyAlignment="1">
      <alignment horizontal="right" vertical="center" readingOrder="1"/>
    </xf>
    <xf numFmtId="0" fontId="5" fillId="0" borderId="0" xfId="0" applyFont="1" applyFill="1" applyBorder="1" applyAlignment="1">
      <alignment horizontal="left" vertical="center" readingOrder="1"/>
    </xf>
    <xf numFmtId="0" fontId="8" fillId="0" borderId="0" xfId="0" applyFont="1" applyFill="1" applyBorder="1" applyAlignment="1">
      <alignment vertical="center" textRotation="90" readingOrder="1"/>
    </xf>
    <xf numFmtId="0" fontId="12" fillId="0" borderId="0" xfId="0" applyFont="1" applyFill="1" applyBorder="1" applyAlignment="1">
      <alignment vertical="center" textRotation="90" readingOrder="1"/>
    </xf>
    <xf numFmtId="0" fontId="8" fillId="0" borderId="0" xfId="0" applyFont="1" applyFill="1" applyBorder="1" applyAlignment="1">
      <alignment horizontal="center" vertical="center" readingOrder="1"/>
    </xf>
    <xf numFmtId="0" fontId="6" fillId="0" borderId="0" xfId="0" applyFont="1" applyFill="1" applyAlignment="1">
      <alignment vertical="center" readingOrder="1"/>
    </xf>
    <xf numFmtId="0" fontId="6" fillId="0" borderId="0" xfId="0" applyFont="1" applyFill="1" applyAlignment="1">
      <alignment horizontal="center" vertical="center" readingOrder="1"/>
    </xf>
    <xf numFmtId="0" fontId="6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 wrapText="1" readingOrder="1"/>
    </xf>
    <xf numFmtId="0" fontId="0" fillId="0" borderId="0" xfId="0" applyFont="1" applyAlignment="1">
      <alignment vertical="center" readingOrder="1"/>
    </xf>
    <xf numFmtId="0" fontId="0" fillId="0" borderId="0" xfId="0" applyFont="1" applyBorder="1" applyAlignment="1">
      <alignment vertical="center" readingOrder="1"/>
    </xf>
    <xf numFmtId="0" fontId="0" fillId="0" borderId="0" xfId="0" applyFont="1" applyAlignment="1">
      <alignment horizontal="center" vertical="center" readingOrder="1"/>
    </xf>
    <xf numFmtId="0" fontId="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right" vertical="center" readingOrder="1"/>
    </xf>
    <xf numFmtId="0" fontId="20" fillId="0" borderId="11" xfId="0" applyFont="1" applyFill="1" applyBorder="1" applyAlignment="1">
      <alignment horizontal="center" vertical="center" wrapText="1" readingOrder="1"/>
    </xf>
    <xf numFmtId="0" fontId="15" fillId="0" borderId="11" xfId="0" applyFont="1" applyFill="1" applyBorder="1" applyAlignment="1">
      <alignment horizontal="center" vertical="center" readingOrder="1"/>
    </xf>
    <xf numFmtId="3" fontId="16" fillId="0" borderId="10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3" fontId="16" fillId="0" borderId="12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 wrapText="1" readingOrder="1"/>
    </xf>
    <xf numFmtId="3" fontId="16" fillId="0" borderId="11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 readingOrder="1"/>
    </xf>
    <xf numFmtId="3" fontId="16" fillId="0" borderId="12" xfId="0" applyNumberFormat="1" applyFont="1" applyFill="1" applyBorder="1" applyAlignment="1">
      <alignment vertical="center" readingOrder="1"/>
    </xf>
    <xf numFmtId="3" fontId="16" fillId="0" borderId="11" xfId="0" applyNumberFormat="1" applyFont="1" applyFill="1" applyBorder="1" applyAlignment="1">
      <alignment vertical="center" readingOrder="1"/>
    </xf>
    <xf numFmtId="3" fontId="9" fillId="0" borderId="10" xfId="42" applyNumberFormat="1" applyFont="1" applyFill="1" applyBorder="1" applyAlignment="1">
      <alignment horizontal="right" vertical="center" readingOrder="1"/>
    </xf>
    <xf numFmtId="3" fontId="9" fillId="0" borderId="13" xfId="42" applyNumberFormat="1" applyFont="1" applyFill="1" applyBorder="1" applyAlignment="1">
      <alignment horizontal="right" vertical="center" readingOrder="1"/>
    </xf>
    <xf numFmtId="3" fontId="9" fillId="0" borderId="14" xfId="42" applyNumberFormat="1" applyFont="1" applyFill="1" applyBorder="1" applyAlignment="1">
      <alignment horizontal="right" vertical="center" readingOrder="1"/>
    </xf>
    <xf numFmtId="3" fontId="16" fillId="0" borderId="15" xfId="42" applyNumberFormat="1" applyFont="1" applyFill="1" applyBorder="1" applyAlignment="1">
      <alignment horizontal="right" vertical="center" readingOrder="1"/>
    </xf>
    <xf numFmtId="3" fontId="9" fillId="0" borderId="16" xfId="42" applyNumberFormat="1" applyFont="1" applyFill="1" applyBorder="1" applyAlignment="1">
      <alignment horizontal="right" vertical="center" readingOrder="1"/>
    </xf>
    <xf numFmtId="3" fontId="16" fillId="0" borderId="0" xfId="0" applyNumberFormat="1" applyFont="1" applyFill="1" applyBorder="1" applyAlignment="1">
      <alignment vertical="center" readingOrder="1"/>
    </xf>
    <xf numFmtId="3" fontId="9" fillId="0" borderId="16" xfId="0" applyNumberFormat="1" applyFont="1" applyFill="1" applyBorder="1" applyAlignment="1">
      <alignment vertical="center" readingOrder="1"/>
    </xf>
    <xf numFmtId="3" fontId="9" fillId="0" borderId="10" xfId="0" applyNumberFormat="1" applyFont="1" applyFill="1" applyBorder="1" applyAlignment="1">
      <alignment vertical="center" readingOrder="1"/>
    </xf>
    <xf numFmtId="3" fontId="9" fillId="0" borderId="12" xfId="0" applyNumberFormat="1" applyFont="1" applyFill="1" applyBorder="1" applyAlignment="1">
      <alignment vertical="center" readingOrder="1"/>
    </xf>
    <xf numFmtId="3" fontId="16" fillId="0" borderId="16" xfId="0" applyNumberFormat="1" applyFont="1" applyFill="1" applyBorder="1" applyAlignment="1">
      <alignment vertical="center" readingOrder="1"/>
    </xf>
    <xf numFmtId="0" fontId="9" fillId="0" borderId="0" xfId="0" applyFont="1" applyFill="1" applyBorder="1" applyAlignment="1">
      <alignment horizontal="left" vertical="center" readingOrder="1"/>
    </xf>
    <xf numFmtId="3" fontId="16" fillId="0" borderId="0" xfId="42" applyNumberFormat="1" applyFont="1" applyFill="1" applyBorder="1" applyAlignment="1">
      <alignment horizontal="right" vertical="center" readingOrder="1"/>
    </xf>
    <xf numFmtId="0" fontId="6" fillId="0" borderId="10" xfId="62" applyFont="1" applyFill="1" applyBorder="1" applyAlignment="1">
      <alignment horizontal="left" vertical="center" wrapText="1" readingOrder="1"/>
      <protection/>
    </xf>
    <xf numFmtId="0" fontId="6" fillId="0" borderId="10" xfId="62" applyFont="1" applyFill="1" applyBorder="1" applyAlignment="1">
      <alignment horizontal="left" vertical="center" readingOrder="1"/>
      <protection/>
    </xf>
    <xf numFmtId="0" fontId="6" fillId="0" borderId="12" xfId="62" applyFont="1" applyFill="1" applyBorder="1" applyAlignment="1">
      <alignment horizontal="left" vertical="center" wrapText="1" readingOrder="1"/>
      <protection/>
    </xf>
    <xf numFmtId="3" fontId="9" fillId="0" borderId="12" xfId="42" applyNumberFormat="1" applyFont="1" applyFill="1" applyBorder="1" applyAlignment="1">
      <alignment horizontal="right" vertical="center" readingOrder="1"/>
    </xf>
    <xf numFmtId="0" fontId="6" fillId="0" borderId="14" xfId="62" applyFont="1" applyFill="1" applyBorder="1" applyAlignment="1">
      <alignment horizontal="left" vertical="center" wrapText="1" readingOrder="1"/>
      <protection/>
    </xf>
    <xf numFmtId="3" fontId="16" fillId="0" borderId="11" xfId="42" applyNumberFormat="1" applyFont="1" applyFill="1" applyBorder="1" applyAlignment="1">
      <alignment horizontal="right" vertical="center" readingOrder="1"/>
    </xf>
    <xf numFmtId="0" fontId="15" fillId="0" borderId="11" xfId="62" applyFont="1" applyFill="1" applyBorder="1" applyAlignment="1">
      <alignment horizontal="center" vertical="center" wrapText="1" readingOrder="1"/>
      <protection/>
    </xf>
    <xf numFmtId="0" fontId="6" fillId="0" borderId="10" xfId="62" applyFont="1" applyFill="1" applyBorder="1" applyAlignment="1">
      <alignment horizontal="center" vertical="center" wrapText="1" readingOrder="1"/>
      <protection/>
    </xf>
    <xf numFmtId="0" fontId="6" fillId="0" borderId="12" xfId="62" applyFont="1" applyFill="1" applyBorder="1" applyAlignment="1">
      <alignment horizontal="center" vertical="center" wrapText="1" readingOrder="1"/>
      <protection/>
    </xf>
    <xf numFmtId="0" fontId="8" fillId="0" borderId="0" xfId="0" applyFont="1" applyFill="1" applyAlignment="1">
      <alignment vertical="center"/>
    </xf>
    <xf numFmtId="3" fontId="16" fillId="0" borderId="11" xfId="42" applyNumberFormat="1" applyFont="1" applyFill="1" applyBorder="1" applyAlignment="1">
      <alignment horizontal="right" vertical="center"/>
    </xf>
    <xf numFmtId="3" fontId="9" fillId="0" borderId="16" xfId="42" applyNumberFormat="1" applyFont="1" applyFill="1" applyBorder="1" applyAlignment="1">
      <alignment horizontal="right" vertical="center"/>
    </xf>
    <xf numFmtId="3" fontId="16" fillId="0" borderId="16" xfId="0" applyNumberFormat="1" applyFont="1" applyFill="1" applyBorder="1" applyAlignment="1">
      <alignment vertical="center"/>
    </xf>
    <xf numFmtId="3" fontId="9" fillId="0" borderId="10" xfId="42" applyNumberFormat="1" applyFont="1" applyFill="1" applyBorder="1" applyAlignment="1">
      <alignment horizontal="right" vertical="center"/>
    </xf>
    <xf numFmtId="3" fontId="9" fillId="0" borderId="12" xfId="42" applyNumberFormat="1" applyFont="1" applyFill="1" applyBorder="1" applyAlignment="1">
      <alignment horizontal="right" vertical="center"/>
    </xf>
    <xf numFmtId="3" fontId="9" fillId="0" borderId="16" xfId="42" applyNumberFormat="1" applyFont="1" applyFill="1" applyBorder="1" applyAlignment="1">
      <alignment vertical="center"/>
    </xf>
    <xf numFmtId="3" fontId="9" fillId="0" borderId="12" xfId="42" applyNumberFormat="1" applyFont="1" applyFill="1" applyBorder="1" applyAlignment="1">
      <alignment vertical="center"/>
    </xf>
    <xf numFmtId="3" fontId="16" fillId="0" borderId="0" xfId="42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vertical="center"/>
    </xf>
    <xf numFmtId="0" fontId="15" fillId="0" borderId="15" xfId="0" applyFont="1" applyFill="1" applyBorder="1" applyAlignment="1">
      <alignment horizontal="center" vertical="center" wrapText="1" readingOrder="1"/>
    </xf>
    <xf numFmtId="3" fontId="16" fillId="0" borderId="15" xfId="42" applyNumberFormat="1" applyFont="1" applyFill="1" applyBorder="1" applyAlignment="1">
      <alignment horizontal="right" vertical="center"/>
    </xf>
    <xf numFmtId="3" fontId="16" fillId="0" borderId="15" xfId="0" applyNumberFormat="1" applyFont="1" applyFill="1" applyBorder="1" applyAlignment="1">
      <alignment vertical="center"/>
    </xf>
    <xf numFmtId="0" fontId="15" fillId="0" borderId="15" xfId="0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vertical="center" readingOrder="1"/>
    </xf>
    <xf numFmtId="0" fontId="6" fillId="0" borderId="16" xfId="0" applyFont="1" applyFill="1" applyBorder="1" applyAlignment="1">
      <alignment horizontal="center" vertical="center" wrapText="1" readingOrder="1"/>
    </xf>
    <xf numFmtId="0" fontId="6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vertical="center"/>
    </xf>
    <xf numFmtId="191" fontId="9" fillId="0" borderId="11" xfId="42" applyNumberFormat="1" applyFont="1" applyFill="1" applyBorder="1" applyAlignment="1">
      <alignment horizontal="right" vertical="center" readingOrder="1"/>
    </xf>
    <xf numFmtId="191" fontId="9" fillId="0" borderId="15" xfId="42" applyNumberFormat="1" applyFont="1" applyFill="1" applyBorder="1" applyAlignment="1">
      <alignment horizontal="right" vertical="center" readingOrder="1"/>
    </xf>
    <xf numFmtId="191" fontId="9" fillId="0" borderId="16" xfId="42" applyNumberFormat="1" applyFont="1" applyFill="1" applyBorder="1" applyAlignment="1">
      <alignment horizontal="right" vertical="center" readingOrder="1"/>
    </xf>
    <xf numFmtId="191" fontId="9" fillId="0" borderId="13" xfId="42" applyNumberFormat="1" applyFont="1" applyFill="1" applyBorder="1" applyAlignment="1">
      <alignment horizontal="right" vertical="center" readingOrder="1"/>
    </xf>
    <xf numFmtId="37" fontId="9" fillId="0" borderId="16" xfId="42" applyNumberFormat="1" applyFont="1" applyFill="1" applyBorder="1" applyAlignment="1">
      <alignment horizontal="right" vertical="center" readingOrder="1"/>
    </xf>
    <xf numFmtId="37" fontId="9" fillId="0" borderId="10" xfId="42" applyNumberFormat="1" applyFont="1" applyFill="1" applyBorder="1" applyAlignment="1">
      <alignment horizontal="right" vertical="center" readingOrder="1"/>
    </xf>
    <xf numFmtId="37" fontId="9" fillId="0" borderId="12" xfId="42" applyNumberFormat="1" applyFont="1" applyFill="1" applyBorder="1" applyAlignment="1">
      <alignment horizontal="right" vertical="center" readingOrder="1"/>
    </xf>
    <xf numFmtId="37" fontId="9" fillId="0" borderId="13" xfId="42" applyNumberFormat="1" applyFont="1" applyFill="1" applyBorder="1" applyAlignment="1">
      <alignment horizontal="right" vertical="center" readingOrder="1"/>
    </xf>
    <xf numFmtId="37" fontId="9" fillId="0" borderId="11" xfId="42" applyNumberFormat="1" applyFont="1" applyFill="1" applyBorder="1" applyAlignment="1">
      <alignment horizontal="right" vertical="center" readingOrder="1"/>
    </xf>
    <xf numFmtId="37" fontId="17" fillId="0" borderId="11" xfId="42" applyNumberFormat="1" applyFont="1" applyFill="1" applyBorder="1" applyAlignment="1">
      <alignment horizontal="right" vertical="center" readingOrder="1"/>
    </xf>
    <xf numFmtId="37" fontId="9" fillId="0" borderId="15" xfId="42" applyNumberFormat="1" applyFont="1" applyFill="1" applyBorder="1" applyAlignment="1">
      <alignment horizontal="right" vertical="center" readingOrder="1"/>
    </xf>
    <xf numFmtId="0" fontId="15" fillId="0" borderId="17" xfId="0" applyFont="1" applyFill="1" applyBorder="1" applyAlignment="1">
      <alignment horizontal="center" vertical="center" wrapText="1" readingOrder="1"/>
    </xf>
    <xf numFmtId="37" fontId="16" fillId="0" borderId="0" xfId="42" applyNumberFormat="1" applyFont="1" applyFill="1" applyBorder="1" applyAlignment="1">
      <alignment horizontal="right" vertical="center" readingOrder="1"/>
    </xf>
    <xf numFmtId="0" fontId="20" fillId="0" borderId="17" xfId="0" applyFont="1" applyFill="1" applyBorder="1" applyAlignment="1">
      <alignment horizontal="center" vertical="center" wrapText="1" readingOrder="1"/>
    </xf>
    <xf numFmtId="37" fontId="17" fillId="0" borderId="17" xfId="42" applyNumberFormat="1" applyFont="1" applyFill="1" applyBorder="1" applyAlignment="1">
      <alignment horizontal="right" vertical="center" readingOrder="1"/>
    </xf>
    <xf numFmtId="3" fontId="9" fillId="0" borderId="15" xfId="0" applyNumberFormat="1" applyFont="1" applyFill="1" applyBorder="1" applyAlignment="1">
      <alignment vertical="center" readingOrder="1"/>
    </xf>
    <xf numFmtId="0" fontId="9" fillId="0" borderId="17" xfId="0" applyFont="1" applyFill="1" applyBorder="1" applyAlignment="1">
      <alignment vertical="center" readingOrder="1"/>
    </xf>
    <xf numFmtId="3" fontId="16" fillId="0" borderId="17" xfId="0" applyNumberFormat="1" applyFont="1" applyFill="1" applyBorder="1" applyAlignment="1">
      <alignment vertical="center" readingOrder="1"/>
    </xf>
    <xf numFmtId="0" fontId="9" fillId="0" borderId="16" xfId="0" applyFont="1" applyFill="1" applyBorder="1" applyAlignment="1">
      <alignment vertical="center" readingOrder="1"/>
    </xf>
    <xf numFmtId="0" fontId="9" fillId="0" borderId="10" xfId="0" applyFont="1" applyFill="1" applyBorder="1" applyAlignment="1">
      <alignment vertical="center" readingOrder="1"/>
    </xf>
    <xf numFmtId="0" fontId="9" fillId="0" borderId="12" xfId="0" applyFont="1" applyFill="1" applyBorder="1" applyAlignment="1">
      <alignment vertical="center" readingOrder="1"/>
    </xf>
    <xf numFmtId="0" fontId="6" fillId="0" borderId="16" xfId="0" applyFont="1" applyFill="1" applyBorder="1" applyAlignment="1">
      <alignment horizontal="left" vertical="center" wrapText="1" readingOrder="1"/>
    </xf>
    <xf numFmtId="0" fontId="6" fillId="0" borderId="12" xfId="0" applyFont="1" applyFill="1" applyBorder="1" applyAlignment="1">
      <alignment horizontal="left" vertical="center" wrapText="1" readingOrder="1"/>
    </xf>
    <xf numFmtId="191" fontId="9" fillId="0" borderId="16" xfId="42" applyNumberFormat="1" applyFont="1" applyBorder="1" applyAlignment="1">
      <alignment vertical="center"/>
    </xf>
    <xf numFmtId="0" fontId="15" fillId="0" borderId="18" xfId="0" applyFont="1" applyFill="1" applyBorder="1" applyAlignment="1">
      <alignment horizontal="center" vertical="center" wrapText="1" readingOrder="1"/>
    </xf>
    <xf numFmtId="0" fontId="6" fillId="0" borderId="10" xfId="0" applyFont="1" applyFill="1" applyBorder="1" applyAlignment="1">
      <alignment horizontal="left" vertical="center" wrapText="1" readingOrder="1"/>
    </xf>
    <xf numFmtId="191" fontId="16" fillId="0" borderId="11" xfId="42" applyNumberFormat="1" applyFont="1" applyFill="1" applyBorder="1" applyAlignment="1">
      <alignment vertical="center" readingOrder="1"/>
    </xf>
    <xf numFmtId="3" fontId="9" fillId="0" borderId="13" xfId="0" applyNumberFormat="1" applyFont="1" applyFill="1" applyBorder="1" applyAlignment="1">
      <alignment vertical="center" readingOrder="1"/>
    </xf>
    <xf numFmtId="0" fontId="6" fillId="0" borderId="13" xfId="0" applyFont="1" applyFill="1" applyBorder="1" applyAlignment="1">
      <alignment horizontal="left" vertical="center" wrapText="1" readingOrder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 readingOrder="1"/>
    </xf>
    <xf numFmtId="0" fontId="5" fillId="0" borderId="0" xfId="0" applyFont="1" applyFill="1" applyAlignment="1">
      <alignment horizontal="left" vertical="center" readingOrder="1"/>
    </xf>
    <xf numFmtId="3" fontId="16" fillId="0" borderId="16" xfId="42" applyNumberFormat="1" applyFont="1" applyFill="1" applyBorder="1" applyAlignment="1">
      <alignment horizontal="right" vertical="center" readingOrder="1"/>
    </xf>
    <xf numFmtId="3" fontId="16" fillId="0" borderId="10" xfId="42" applyNumberFormat="1" applyFont="1" applyFill="1" applyBorder="1" applyAlignment="1">
      <alignment horizontal="right" vertical="center" readingOrder="1"/>
    </xf>
    <xf numFmtId="3" fontId="16" fillId="0" borderId="12" xfId="42" applyNumberFormat="1" applyFont="1" applyFill="1" applyBorder="1" applyAlignment="1">
      <alignment horizontal="right" vertical="center" readingOrder="1"/>
    </xf>
    <xf numFmtId="0" fontId="5" fillId="0" borderId="0" xfId="0" applyFont="1" applyFill="1" applyAlignment="1">
      <alignment vertical="center" wrapText="1" readingOrder="1"/>
    </xf>
    <xf numFmtId="0" fontId="8" fillId="0" borderId="11" xfId="0" applyFont="1" applyFill="1" applyBorder="1" applyAlignment="1">
      <alignment vertical="center" wrapText="1" readingOrder="1"/>
    </xf>
    <xf numFmtId="0" fontId="5" fillId="0" borderId="16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191" fontId="9" fillId="0" borderId="12" xfId="42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191" fontId="16" fillId="0" borderId="11" xfId="0" applyNumberFormat="1" applyFont="1" applyBorder="1" applyAlignment="1">
      <alignment vertical="center"/>
    </xf>
    <xf numFmtId="3" fontId="16" fillId="0" borderId="11" xfId="0" applyNumberFormat="1" applyFont="1" applyFill="1" applyBorder="1" applyAlignment="1">
      <alignment horizontal="right" vertical="center" wrapText="1" readingOrder="1"/>
    </xf>
    <xf numFmtId="0" fontId="5" fillId="0" borderId="16" xfId="0" applyFont="1" applyFill="1" applyBorder="1" applyAlignment="1">
      <alignment vertical="center" wrapText="1" readingOrder="1"/>
    </xf>
    <xf numFmtId="0" fontId="5" fillId="0" borderId="10" xfId="0" applyFont="1" applyFill="1" applyBorder="1" applyAlignment="1">
      <alignment vertical="center" wrapText="1" readingOrder="1"/>
    </xf>
    <xf numFmtId="0" fontId="5" fillId="0" borderId="12" xfId="0" applyFont="1" applyFill="1" applyBorder="1" applyAlignment="1">
      <alignment vertical="center" wrapText="1" readingOrder="1"/>
    </xf>
    <xf numFmtId="0" fontId="16" fillId="0" borderId="11" xfId="0" applyFont="1" applyFill="1" applyBorder="1" applyAlignment="1">
      <alignment vertical="center" readingOrder="1"/>
    </xf>
    <xf numFmtId="0" fontId="5" fillId="0" borderId="16" xfId="0" applyFont="1" applyFill="1" applyBorder="1" applyAlignment="1">
      <alignment vertical="center" readingOrder="1"/>
    </xf>
    <xf numFmtId="0" fontId="5" fillId="0" borderId="10" xfId="0" applyFont="1" applyFill="1" applyBorder="1" applyAlignment="1">
      <alignment vertical="center" readingOrder="1"/>
    </xf>
    <xf numFmtId="172" fontId="9" fillId="0" borderId="16" xfId="0" applyNumberFormat="1" applyFont="1" applyFill="1" applyBorder="1" applyAlignment="1">
      <alignment vertical="center" readingOrder="1"/>
    </xf>
    <xf numFmtId="172" fontId="9" fillId="0" borderId="10" xfId="0" applyNumberFormat="1" applyFont="1" applyFill="1" applyBorder="1" applyAlignment="1">
      <alignment vertical="center" readingOrder="1"/>
    </xf>
    <xf numFmtId="172" fontId="9" fillId="0" borderId="12" xfId="0" applyNumberFormat="1" applyFont="1" applyFill="1" applyBorder="1" applyAlignment="1">
      <alignment vertical="center" readingOrder="1"/>
    </xf>
    <xf numFmtId="49" fontId="8" fillId="0" borderId="11" xfId="0" applyNumberFormat="1" applyFont="1" applyFill="1" applyBorder="1" applyAlignment="1">
      <alignment vertical="center" wrapText="1" readingOrder="1"/>
    </xf>
    <xf numFmtId="172" fontId="9" fillId="0" borderId="11" xfId="0" applyNumberFormat="1" applyFont="1" applyFill="1" applyBorder="1" applyAlignment="1">
      <alignment vertical="center" readingOrder="1"/>
    </xf>
    <xf numFmtId="172" fontId="9" fillId="0" borderId="15" xfId="0" applyNumberFormat="1" applyFont="1" applyFill="1" applyBorder="1" applyAlignment="1">
      <alignment vertical="center" readingOrder="1"/>
    </xf>
    <xf numFmtId="0" fontId="9" fillId="0" borderId="13" xfId="0" applyFont="1" applyFill="1" applyBorder="1" applyAlignment="1">
      <alignment vertical="center" readingOrder="1"/>
    </xf>
    <xf numFmtId="172" fontId="9" fillId="0" borderId="13" xfId="0" applyNumberFormat="1" applyFont="1" applyFill="1" applyBorder="1" applyAlignment="1">
      <alignment vertical="center" readingOrder="1"/>
    </xf>
    <xf numFmtId="197" fontId="9" fillId="0" borderId="16" xfId="0" applyNumberFormat="1" applyFont="1" applyFill="1" applyBorder="1" applyAlignment="1">
      <alignment vertical="center" readingOrder="1"/>
    </xf>
    <xf numFmtId="197" fontId="9" fillId="0" borderId="10" xfId="0" applyNumberFormat="1" applyFont="1" applyFill="1" applyBorder="1" applyAlignment="1">
      <alignment vertical="center" readingOrder="1"/>
    </xf>
    <xf numFmtId="197" fontId="9" fillId="0" borderId="12" xfId="0" applyNumberFormat="1" applyFont="1" applyFill="1" applyBorder="1" applyAlignment="1">
      <alignment vertical="center" readingOrder="1"/>
    </xf>
    <xf numFmtId="197" fontId="16" fillId="0" borderId="11" xfId="0" applyNumberFormat="1" applyFont="1" applyFill="1" applyBorder="1" applyAlignment="1">
      <alignment vertical="center" readingOrder="1"/>
    </xf>
    <xf numFmtId="49" fontId="8" fillId="0" borderId="11" xfId="0" applyNumberFormat="1" applyFont="1" applyFill="1" applyBorder="1" applyAlignment="1">
      <alignment horizontal="center" vertical="center" wrapText="1" readingOrder="1"/>
    </xf>
    <xf numFmtId="197" fontId="16" fillId="0" borderId="12" xfId="0" applyNumberFormat="1" applyFont="1" applyFill="1" applyBorder="1" applyAlignment="1">
      <alignment vertical="center" readingOrder="1"/>
    </xf>
    <xf numFmtId="191" fontId="9" fillId="0" borderId="10" xfId="42" applyNumberFormat="1" applyFont="1" applyFill="1" applyBorder="1" applyAlignment="1">
      <alignment vertical="center" readingOrder="1"/>
    </xf>
    <xf numFmtId="191" fontId="9" fillId="0" borderId="13" xfId="42" applyNumberFormat="1" applyFont="1" applyFill="1" applyBorder="1" applyAlignment="1">
      <alignment vertical="center" readingOrder="1"/>
    </xf>
    <xf numFmtId="191" fontId="9" fillId="0" borderId="14" xfId="42" applyNumberFormat="1" applyFont="1" applyFill="1" applyBorder="1" applyAlignment="1">
      <alignment vertical="center" readingOrder="1"/>
    </xf>
    <xf numFmtId="49" fontId="5" fillId="0" borderId="14" xfId="0" applyNumberFormat="1" applyFont="1" applyFill="1" applyBorder="1" applyAlignment="1">
      <alignment vertical="center" wrapText="1" readingOrder="1"/>
    </xf>
    <xf numFmtId="3" fontId="9" fillId="0" borderId="14" xfId="0" applyNumberFormat="1" applyFont="1" applyFill="1" applyBorder="1" applyAlignment="1">
      <alignment vertical="center" readingOrder="1"/>
    </xf>
    <xf numFmtId="49" fontId="5" fillId="0" borderId="16" xfId="0" applyNumberFormat="1" applyFont="1" applyFill="1" applyBorder="1" applyAlignment="1">
      <alignment vertical="center" wrapText="1" readingOrder="1"/>
    </xf>
    <xf numFmtId="49" fontId="5" fillId="0" borderId="12" xfId="0" applyNumberFormat="1" applyFont="1" applyFill="1" applyBorder="1" applyAlignment="1">
      <alignment vertical="center" wrapText="1" readingOrder="1"/>
    </xf>
    <xf numFmtId="49" fontId="5" fillId="0" borderId="10" xfId="0" applyNumberFormat="1" applyFont="1" applyFill="1" applyBorder="1" applyAlignment="1">
      <alignment vertical="center" wrapText="1" readingOrder="1"/>
    </xf>
    <xf numFmtId="0" fontId="6" fillId="0" borderId="0" xfId="0" applyFont="1" applyFill="1" applyBorder="1" applyAlignment="1">
      <alignment horizontal="left" vertical="center" wrapText="1" readingOrder="1"/>
    </xf>
    <xf numFmtId="0" fontId="9" fillId="0" borderId="0" xfId="0" applyFont="1" applyFill="1" applyBorder="1" applyAlignment="1">
      <alignment vertical="center" readingOrder="1"/>
    </xf>
    <xf numFmtId="0" fontId="12" fillId="0" borderId="0" xfId="0" applyFont="1" applyFill="1" applyBorder="1" applyAlignment="1">
      <alignment horizontal="center" vertical="center" textRotation="90" wrapText="1" readingOrder="1"/>
    </xf>
    <xf numFmtId="0" fontId="7" fillId="0" borderId="0" xfId="0" applyFont="1" applyFill="1" applyAlignment="1">
      <alignment vertical="center" wrapText="1" readingOrder="1"/>
    </xf>
    <xf numFmtId="0" fontId="19" fillId="0" borderId="11" xfId="0" applyFont="1" applyFill="1" applyBorder="1" applyAlignment="1">
      <alignment horizontal="center" vertical="center" wrapText="1" readingOrder="1"/>
    </xf>
    <xf numFmtId="49" fontId="8" fillId="0" borderId="0" xfId="0" applyNumberFormat="1" applyFont="1" applyFill="1" applyBorder="1" applyAlignment="1">
      <alignment horizontal="center" vertical="center" wrapText="1" readingOrder="1"/>
    </xf>
    <xf numFmtId="49" fontId="5" fillId="0" borderId="0" xfId="0" applyNumberFormat="1" applyFont="1" applyFill="1" applyBorder="1" applyAlignment="1">
      <alignment horizontal="center" vertical="center"/>
    </xf>
    <xf numFmtId="197" fontId="16" fillId="0" borderId="0" xfId="0" applyNumberFormat="1" applyFont="1" applyFill="1" applyBorder="1" applyAlignment="1">
      <alignment vertical="center" readingOrder="1"/>
    </xf>
    <xf numFmtId="3" fontId="9" fillId="0" borderId="16" xfId="0" applyNumberFormat="1" applyFont="1" applyFill="1" applyBorder="1" applyAlignment="1">
      <alignment horizontal="right" vertical="center" readingOrder="1"/>
    </xf>
    <xf numFmtId="3" fontId="16" fillId="0" borderId="16" xfId="0" applyNumberFormat="1" applyFont="1" applyFill="1" applyBorder="1" applyAlignment="1">
      <alignment horizontal="right" vertical="center" readingOrder="1"/>
    </xf>
    <xf numFmtId="3" fontId="9" fillId="0" borderId="10" xfId="0" applyNumberFormat="1" applyFont="1" applyFill="1" applyBorder="1" applyAlignment="1">
      <alignment horizontal="right" vertical="center" readingOrder="1"/>
    </xf>
    <xf numFmtId="3" fontId="9" fillId="0" borderId="13" xfId="0" applyNumberFormat="1" applyFont="1" applyFill="1" applyBorder="1" applyAlignment="1">
      <alignment horizontal="right" vertical="center" readingOrder="1"/>
    </xf>
    <xf numFmtId="3" fontId="16" fillId="0" borderId="12" xfId="0" applyNumberFormat="1" applyFont="1" applyFill="1" applyBorder="1" applyAlignment="1">
      <alignment horizontal="right" vertical="center" readingOrder="1"/>
    </xf>
    <xf numFmtId="0" fontId="5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 readingOrder="1"/>
    </xf>
    <xf numFmtId="0" fontId="6" fillId="0" borderId="14" xfId="62" applyFont="1" applyFill="1" applyBorder="1" applyAlignment="1">
      <alignment horizontal="left" vertical="center" readingOrder="1"/>
      <protection/>
    </xf>
    <xf numFmtId="0" fontId="6" fillId="0" borderId="19" xfId="62" applyFont="1" applyFill="1" applyBorder="1" applyAlignment="1">
      <alignment horizontal="left" vertical="center" wrapText="1" readingOrder="1"/>
      <protection/>
    </xf>
    <xf numFmtId="0" fontId="6" fillId="0" borderId="20" xfId="62" applyFont="1" applyFill="1" applyBorder="1" applyAlignment="1">
      <alignment horizontal="left" vertical="center" wrapText="1" readingOrder="1"/>
      <protection/>
    </xf>
    <xf numFmtId="0" fontId="6" fillId="0" borderId="16" xfId="62" applyFont="1" applyFill="1" applyBorder="1" applyAlignment="1">
      <alignment horizontal="center" vertical="center" wrapText="1" readingOrder="1"/>
      <protection/>
    </xf>
    <xf numFmtId="0" fontId="9" fillId="0" borderId="14" xfId="0" applyFont="1" applyFill="1" applyBorder="1" applyAlignment="1">
      <alignment vertical="center" readingOrder="1"/>
    </xf>
    <xf numFmtId="172" fontId="9" fillId="0" borderId="14" xfId="0" applyNumberFormat="1" applyFont="1" applyFill="1" applyBorder="1" applyAlignment="1">
      <alignment vertical="center" readingOrder="1"/>
    </xf>
    <xf numFmtId="185" fontId="5" fillId="0" borderId="0" xfId="66" applyNumberFormat="1" applyFont="1" applyFill="1" applyAlignment="1">
      <alignment vertical="center" readingOrder="1"/>
    </xf>
    <xf numFmtId="37" fontId="5" fillId="0" borderId="0" xfId="0" applyNumberFormat="1" applyFont="1" applyFill="1" applyAlignment="1">
      <alignment vertical="center" readingOrder="1"/>
    </xf>
    <xf numFmtId="0" fontId="7" fillId="0" borderId="0" xfId="0" applyFont="1" applyFill="1" applyAlignment="1">
      <alignment horizontal="left" vertical="center" readingOrder="1"/>
    </xf>
    <xf numFmtId="0" fontId="7" fillId="0" borderId="0" xfId="0" applyFont="1" applyFill="1" applyAlignment="1">
      <alignment horizontal="left" vertical="center" wrapText="1" readingOrder="1"/>
    </xf>
    <xf numFmtId="0" fontId="15" fillId="0" borderId="15" xfId="0" applyFont="1" applyFill="1" applyBorder="1" applyAlignment="1">
      <alignment horizontal="right" vertical="center" wrapText="1" readingOrder="1"/>
    </xf>
    <xf numFmtId="3" fontId="16" fillId="0" borderId="11" xfId="0" applyNumberFormat="1" applyFont="1" applyFill="1" applyBorder="1" applyAlignment="1">
      <alignment horizontal="right" vertical="center" readingOrder="1"/>
    </xf>
    <xf numFmtId="3" fontId="16" fillId="0" borderId="14" xfId="0" applyNumberFormat="1" applyFont="1" applyFill="1" applyBorder="1" applyAlignment="1">
      <alignment horizontal="right" vertical="center" readingOrder="1"/>
    </xf>
    <xf numFmtId="0" fontId="15" fillId="0" borderId="11" xfId="0" applyFont="1" applyFill="1" applyBorder="1" applyAlignment="1">
      <alignment horizontal="right" vertical="center" wrapText="1" readingOrder="1"/>
    </xf>
    <xf numFmtId="0" fontId="7" fillId="0" borderId="0" xfId="0" applyFont="1" applyFill="1" applyAlignment="1">
      <alignment vertical="center" readingOrder="1"/>
    </xf>
    <xf numFmtId="0" fontId="8" fillId="0" borderId="11" xfId="0" applyFont="1" applyFill="1" applyBorder="1" applyAlignment="1">
      <alignment horizontal="right" vertical="center" wrapText="1" readingOrder="1"/>
    </xf>
    <xf numFmtId="0" fontId="8" fillId="0" borderId="11" xfId="0" applyFont="1" applyFill="1" applyBorder="1" applyAlignment="1">
      <alignment horizontal="right" vertical="center" readingOrder="1"/>
    </xf>
    <xf numFmtId="0" fontId="8" fillId="0" borderId="11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 readingOrder="1"/>
    </xf>
    <xf numFmtId="37" fontId="16" fillId="0" borderId="15" xfId="0" applyNumberFormat="1" applyFont="1" applyFill="1" applyBorder="1" applyAlignment="1">
      <alignment horizontal="right" vertical="center" readingOrder="1"/>
    </xf>
    <xf numFmtId="37" fontId="16" fillId="0" borderId="16" xfId="0" applyNumberFormat="1" applyFont="1" applyFill="1" applyBorder="1" applyAlignment="1">
      <alignment horizontal="right" vertical="center" readingOrder="1"/>
    </xf>
    <xf numFmtId="37" fontId="16" fillId="0" borderId="10" xfId="0" applyNumberFormat="1" applyFont="1" applyFill="1" applyBorder="1" applyAlignment="1">
      <alignment horizontal="right" vertical="center" readingOrder="1"/>
    </xf>
    <xf numFmtId="37" fontId="16" fillId="0" borderId="13" xfId="0" applyNumberFormat="1" applyFont="1" applyFill="1" applyBorder="1" applyAlignment="1">
      <alignment horizontal="right" vertical="center" readingOrder="1"/>
    </xf>
    <xf numFmtId="191" fontId="16" fillId="0" borderId="16" xfId="0" applyNumberFormat="1" applyFont="1" applyFill="1" applyBorder="1" applyAlignment="1">
      <alignment horizontal="right" vertical="center" readingOrder="1"/>
    </xf>
    <xf numFmtId="191" fontId="16" fillId="0" borderId="13" xfId="0" applyNumberFormat="1" applyFont="1" applyFill="1" applyBorder="1" applyAlignment="1">
      <alignment horizontal="right" vertical="center" readingOrder="1"/>
    </xf>
    <xf numFmtId="191" fontId="16" fillId="0" borderId="11" xfId="0" applyNumberFormat="1" applyFont="1" applyFill="1" applyBorder="1" applyAlignment="1">
      <alignment horizontal="right" vertical="center" readingOrder="1"/>
    </xf>
    <xf numFmtId="191" fontId="16" fillId="0" borderId="15" xfId="0" applyNumberFormat="1" applyFont="1" applyFill="1" applyBorder="1" applyAlignment="1">
      <alignment horizontal="right" vertical="center" readingOrder="1"/>
    </xf>
    <xf numFmtId="37" fontId="16" fillId="0" borderId="11" xfId="0" applyNumberFormat="1" applyFont="1" applyFill="1" applyBorder="1" applyAlignment="1">
      <alignment horizontal="right" vertical="center" readingOrder="1"/>
    </xf>
    <xf numFmtId="37" fontId="18" fillId="0" borderId="11" xfId="0" applyNumberFormat="1" applyFont="1" applyFill="1" applyBorder="1" applyAlignment="1">
      <alignment horizontal="right" vertical="center" readingOrder="1"/>
    </xf>
    <xf numFmtId="37" fontId="16" fillId="0" borderId="12" xfId="0" applyNumberFormat="1" applyFont="1" applyFill="1" applyBorder="1" applyAlignment="1">
      <alignment horizontal="right" vertical="center" readingOrder="1"/>
    </xf>
    <xf numFmtId="37" fontId="16" fillId="0" borderId="0" xfId="0" applyNumberFormat="1" applyFont="1" applyFill="1" applyBorder="1" applyAlignment="1">
      <alignment horizontal="right" vertical="center" readingOrder="1"/>
    </xf>
    <xf numFmtId="37" fontId="18" fillId="0" borderId="17" xfId="0" applyNumberFormat="1" applyFont="1" applyFill="1" applyBorder="1" applyAlignment="1">
      <alignment horizontal="right" vertical="center" readingOrder="1"/>
    </xf>
    <xf numFmtId="3" fontId="16" fillId="0" borderId="15" xfId="0" applyNumberFormat="1" applyFont="1" applyFill="1" applyBorder="1" applyAlignment="1">
      <alignment horizontal="right" vertical="center" readingOrder="1"/>
    </xf>
    <xf numFmtId="191" fontId="16" fillId="0" borderId="16" xfId="42" applyNumberFormat="1" applyFont="1" applyFill="1" applyBorder="1" applyAlignment="1">
      <alignment horizontal="right" vertical="center" readingOrder="1"/>
    </xf>
    <xf numFmtId="191" fontId="16" fillId="0" borderId="10" xfId="42" applyNumberFormat="1" applyFont="1" applyFill="1" applyBorder="1" applyAlignment="1">
      <alignment horizontal="right" vertical="center" readingOrder="1"/>
    </xf>
    <xf numFmtId="191" fontId="16" fillId="0" borderId="12" xfId="42" applyNumberFormat="1" applyFont="1" applyFill="1" applyBorder="1" applyAlignment="1">
      <alignment horizontal="right" vertical="center" readingOrder="1"/>
    </xf>
    <xf numFmtId="3" fontId="16" fillId="0" borderId="17" xfId="0" applyNumberFormat="1" applyFont="1" applyFill="1" applyBorder="1" applyAlignment="1">
      <alignment horizontal="right" vertical="center" readingOrder="1"/>
    </xf>
    <xf numFmtId="0" fontId="9" fillId="0" borderId="0" xfId="0" applyFont="1" applyFill="1" applyBorder="1" applyAlignment="1">
      <alignment horizontal="right" vertical="center" readingOrder="1"/>
    </xf>
    <xf numFmtId="49" fontId="8" fillId="0" borderId="15" xfId="0" applyNumberFormat="1" applyFont="1" applyFill="1" applyBorder="1" applyAlignment="1">
      <alignment horizontal="right" vertical="center" readingOrder="1"/>
    </xf>
    <xf numFmtId="0" fontId="8" fillId="0" borderId="15" xfId="0" applyFont="1" applyFill="1" applyBorder="1" applyAlignment="1">
      <alignment horizontal="right" vertical="center" readingOrder="1"/>
    </xf>
    <xf numFmtId="197" fontId="9" fillId="0" borderId="12" xfId="0" applyNumberFormat="1" applyFont="1" applyFill="1" applyBorder="1" applyAlignment="1">
      <alignment horizontal="right" vertical="center" readingOrder="1"/>
    </xf>
    <xf numFmtId="49" fontId="10" fillId="0" borderId="16" xfId="0" applyNumberFormat="1" applyFont="1" applyFill="1" applyBorder="1" applyAlignment="1">
      <alignment horizontal="center" vertical="center" wrapText="1" readingOrder="1"/>
    </xf>
    <xf numFmtId="0" fontId="10" fillId="0" borderId="12" xfId="0" applyFont="1" applyFill="1" applyBorder="1" applyAlignment="1">
      <alignment horizontal="center" vertical="center" wrapText="1" readingOrder="1"/>
    </xf>
    <xf numFmtId="0" fontId="10" fillId="0" borderId="12" xfId="0" applyFont="1" applyFill="1" applyBorder="1" applyAlignment="1">
      <alignment horizontal="center" vertical="center" readingOrder="1"/>
    </xf>
    <xf numFmtId="49" fontId="21" fillId="0" borderId="16" xfId="0" applyNumberFormat="1" applyFont="1" applyFill="1" applyBorder="1" applyAlignment="1">
      <alignment horizontal="center" vertical="center" wrapText="1" readingOrder="1"/>
    </xf>
    <xf numFmtId="0" fontId="21" fillId="0" borderId="12" xfId="0" applyFont="1" applyFill="1" applyBorder="1" applyAlignment="1">
      <alignment horizontal="center" vertical="center" readingOrder="1"/>
    </xf>
    <xf numFmtId="197" fontId="16" fillId="0" borderId="12" xfId="0" applyNumberFormat="1" applyFont="1" applyFill="1" applyBorder="1" applyAlignment="1">
      <alignment horizontal="right" vertical="center" readingOrder="1"/>
    </xf>
    <xf numFmtId="0" fontId="21" fillId="0" borderId="12" xfId="0" applyFont="1" applyFill="1" applyBorder="1" applyAlignment="1">
      <alignment horizontal="center" vertical="center" wrapText="1" readingOrder="1"/>
    </xf>
    <xf numFmtId="0" fontId="21" fillId="0" borderId="13" xfId="0" applyFont="1" applyFill="1" applyBorder="1" applyAlignment="1">
      <alignment horizontal="center" vertical="center" wrapText="1" readingOrder="1"/>
    </xf>
    <xf numFmtId="197" fontId="16" fillId="0" borderId="13" xfId="0" applyNumberFormat="1" applyFont="1" applyFill="1" applyBorder="1" applyAlignment="1">
      <alignment vertical="center" readingOrder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3" fontId="16" fillId="0" borderId="0" xfId="0" applyNumberFormat="1" applyFont="1" applyAlignment="1">
      <alignment vertical="center"/>
    </xf>
    <xf numFmtId="49" fontId="5" fillId="0" borderId="16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16" fillId="0" borderId="12" xfId="0" applyNumberFormat="1" applyFont="1" applyBorder="1" applyAlignment="1">
      <alignment vertical="center"/>
    </xf>
    <xf numFmtId="197" fontId="16" fillId="0" borderId="11" xfId="0" applyNumberFormat="1" applyFont="1" applyBorder="1" applyAlignment="1">
      <alignment vertical="center"/>
    </xf>
    <xf numFmtId="49" fontId="8" fillId="0" borderId="11" xfId="0" applyNumberFormat="1" applyFont="1" applyFill="1" applyBorder="1" applyAlignment="1">
      <alignment horizontal="right" vertical="center" wrapText="1" readingOrder="1"/>
    </xf>
    <xf numFmtId="3" fontId="9" fillId="0" borderId="14" xfId="0" applyNumberFormat="1" applyFont="1" applyFill="1" applyBorder="1" applyAlignment="1">
      <alignment horizontal="right" vertical="center" readingOrder="1"/>
    </xf>
    <xf numFmtId="0" fontId="8" fillId="0" borderId="11" xfId="0" applyFont="1" applyBorder="1" applyAlignment="1">
      <alignment horizontal="right" vertical="center" wrapText="1"/>
    </xf>
    <xf numFmtId="0" fontId="11" fillId="0" borderId="18" xfId="0" applyFont="1" applyBorder="1" applyAlignment="1">
      <alignment horizontal="center" vertical="center" wrapText="1" readingOrder="1"/>
    </xf>
    <xf numFmtId="0" fontId="11" fillId="0" borderId="11" xfId="0" applyFont="1" applyBorder="1" applyAlignment="1">
      <alignment horizontal="center" vertical="center" wrapText="1" readingOrder="1"/>
    </xf>
    <xf numFmtId="0" fontId="11" fillId="0" borderId="21" xfId="0" applyFont="1" applyBorder="1" applyAlignment="1">
      <alignment horizontal="center" vertical="center" wrapText="1" readingOrder="1"/>
    </xf>
    <xf numFmtId="0" fontId="13" fillId="0" borderId="22" xfId="0" applyFont="1" applyFill="1" applyBorder="1" applyAlignment="1">
      <alignment horizontal="center" vertical="center" textRotation="90" readingOrder="1"/>
    </xf>
    <xf numFmtId="0" fontId="13" fillId="0" borderId="23" xfId="0" applyFont="1" applyFill="1" applyBorder="1" applyAlignment="1">
      <alignment horizontal="center" vertical="center" textRotation="90" readingOrder="1"/>
    </xf>
    <xf numFmtId="0" fontId="13" fillId="0" borderId="24" xfId="0" applyFont="1" applyFill="1" applyBorder="1" applyAlignment="1">
      <alignment horizontal="center" vertical="center" textRotation="90" readingOrder="1"/>
    </xf>
    <xf numFmtId="0" fontId="8" fillId="0" borderId="22" xfId="0" applyFont="1" applyFill="1" applyBorder="1" applyAlignment="1">
      <alignment horizontal="center" vertical="center" textRotation="90" wrapText="1" readingOrder="1"/>
    </xf>
    <xf numFmtId="0" fontId="8" fillId="0" borderId="23" xfId="0" applyFont="1" applyFill="1" applyBorder="1" applyAlignment="1">
      <alignment horizontal="center" vertical="center" textRotation="90" wrapText="1" readingOrder="1"/>
    </xf>
    <xf numFmtId="0" fontId="8" fillId="0" borderId="24" xfId="0" applyFont="1" applyFill="1" applyBorder="1" applyAlignment="1">
      <alignment horizontal="center" vertical="center" textRotation="90" wrapText="1" readingOrder="1"/>
    </xf>
    <xf numFmtId="0" fontId="8" fillId="0" borderId="22" xfId="0" applyFont="1" applyFill="1" applyBorder="1" applyAlignment="1">
      <alignment horizontal="center" vertical="center" textRotation="90" readingOrder="1"/>
    </xf>
    <xf numFmtId="0" fontId="8" fillId="0" borderId="23" xfId="0" applyFont="1" applyFill="1" applyBorder="1" applyAlignment="1">
      <alignment horizontal="center" vertical="center" textRotation="90" readingOrder="1"/>
    </xf>
    <xf numFmtId="0" fontId="8" fillId="0" borderId="24" xfId="0" applyFont="1" applyFill="1" applyBorder="1" applyAlignment="1">
      <alignment horizontal="center" vertical="center" textRotation="90" readingOrder="1"/>
    </xf>
    <xf numFmtId="0" fontId="8" fillId="0" borderId="11" xfId="0" applyFont="1" applyFill="1" applyBorder="1" applyAlignment="1">
      <alignment horizontal="center" vertical="center" readingOrder="1"/>
    </xf>
    <xf numFmtId="0" fontId="13" fillId="0" borderId="22" xfId="0" applyFont="1" applyFill="1" applyBorder="1" applyAlignment="1">
      <alignment horizontal="center" vertical="center" textRotation="90"/>
    </xf>
    <xf numFmtId="0" fontId="13" fillId="0" borderId="23" xfId="0" applyFont="1" applyFill="1" applyBorder="1" applyAlignment="1">
      <alignment horizontal="center" vertical="center" textRotation="90"/>
    </xf>
    <xf numFmtId="0" fontId="13" fillId="0" borderId="24" xfId="0" applyFont="1" applyFill="1" applyBorder="1" applyAlignment="1">
      <alignment horizontal="center" vertical="center" textRotation="90"/>
    </xf>
    <xf numFmtId="0" fontId="8" fillId="0" borderId="22" xfId="63" applyFont="1" applyFill="1" applyBorder="1" applyAlignment="1">
      <alignment horizontal="center" vertical="center" textRotation="90" readingOrder="1"/>
      <protection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8" fillId="0" borderId="22" xfId="63" applyFont="1" applyFill="1" applyBorder="1" applyAlignment="1">
      <alignment horizontal="center" vertical="center" textRotation="90" wrapText="1" readingOrder="1"/>
      <protection/>
    </xf>
    <xf numFmtId="0" fontId="8" fillId="0" borderId="23" xfId="63" applyFont="1" applyFill="1" applyBorder="1" applyAlignment="1">
      <alignment horizontal="center" vertical="center" textRotation="90" wrapText="1" readingOrder="1"/>
      <protection/>
    </xf>
    <xf numFmtId="0" fontId="8" fillId="0" borderId="24" xfId="63" applyFont="1" applyFill="1" applyBorder="1" applyAlignment="1">
      <alignment horizontal="center" vertical="center" textRotation="90" wrapText="1" readingOrder="1"/>
      <protection/>
    </xf>
    <xf numFmtId="0" fontId="8" fillId="0" borderId="25" xfId="63" applyFont="1" applyFill="1" applyBorder="1" applyAlignment="1">
      <alignment horizontal="center" vertical="center" textRotation="90"/>
      <protection/>
    </xf>
    <xf numFmtId="0" fontId="8" fillId="0" borderId="26" xfId="63" applyFont="1" applyFill="1" applyBorder="1" applyAlignment="1">
      <alignment horizontal="center" vertical="center" textRotation="90"/>
      <protection/>
    </xf>
    <xf numFmtId="0" fontId="8" fillId="0" borderId="27" xfId="63" applyFont="1" applyFill="1" applyBorder="1" applyAlignment="1">
      <alignment horizontal="center" vertical="center" textRotation="90"/>
      <protection/>
    </xf>
    <xf numFmtId="0" fontId="8" fillId="0" borderId="28" xfId="63" applyFont="1" applyFill="1" applyBorder="1" applyAlignment="1">
      <alignment horizontal="center" vertical="center" textRotation="90" wrapText="1"/>
      <protection/>
    </xf>
    <xf numFmtId="0" fontId="8" fillId="0" borderId="28" xfId="63" applyFont="1" applyFill="1" applyBorder="1" applyAlignment="1">
      <alignment horizontal="center" vertical="center" textRotation="90" wrapText="1" readingOrder="1"/>
      <protection/>
    </xf>
    <xf numFmtId="0" fontId="8" fillId="0" borderId="23" xfId="63" applyFont="1" applyFill="1" applyBorder="1" applyAlignment="1">
      <alignment horizontal="center" vertical="center" textRotation="90" readingOrder="1"/>
      <protection/>
    </xf>
    <xf numFmtId="0" fontId="8" fillId="0" borderId="24" xfId="63" applyFont="1" applyFill="1" applyBorder="1" applyAlignment="1">
      <alignment horizontal="center" vertical="center" textRotation="90" readingOrder="1"/>
      <protection/>
    </xf>
    <xf numFmtId="0" fontId="13" fillId="0" borderId="22" xfId="0" applyFont="1" applyFill="1" applyBorder="1" applyAlignment="1">
      <alignment horizontal="center" vertical="center" textRotation="90" wrapText="1" readingOrder="1"/>
    </xf>
    <xf numFmtId="0" fontId="13" fillId="0" borderId="23" xfId="0" applyFont="1" applyFill="1" applyBorder="1" applyAlignment="1">
      <alignment horizontal="center" vertical="center" textRotation="90" wrapText="1" readingOrder="1"/>
    </xf>
    <xf numFmtId="0" fontId="13" fillId="0" borderId="24" xfId="0" applyFont="1" applyFill="1" applyBorder="1" applyAlignment="1">
      <alignment horizontal="center" vertical="center" textRotation="90" wrapText="1" readingOrder="1"/>
    </xf>
    <xf numFmtId="0" fontId="12" fillId="0" borderId="22" xfId="0" applyFont="1" applyFill="1" applyBorder="1" applyAlignment="1">
      <alignment horizontal="center" vertical="center" textRotation="90" wrapText="1" readingOrder="1"/>
    </xf>
    <xf numFmtId="0" fontId="12" fillId="0" borderId="23" xfId="0" applyFont="1" applyFill="1" applyBorder="1" applyAlignment="1">
      <alignment horizontal="center" vertical="center" textRotation="90" wrapText="1" readingOrder="1"/>
    </xf>
    <xf numFmtId="0" fontId="12" fillId="0" borderId="24" xfId="0" applyFont="1" applyFill="1" applyBorder="1" applyAlignment="1">
      <alignment horizontal="center" vertical="center" textRotation="90" wrapText="1" readingOrder="1"/>
    </xf>
    <xf numFmtId="0" fontId="8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readingOrder="1"/>
    </xf>
    <xf numFmtId="0" fontId="8" fillId="0" borderId="11" xfId="0" applyFont="1" applyFill="1" applyBorder="1" applyAlignment="1">
      <alignment horizontal="center" vertical="center" wrapText="1" readingOrder="1"/>
    </xf>
    <xf numFmtId="49" fontId="5" fillId="0" borderId="10" xfId="0" applyNumberFormat="1" applyFont="1" applyFill="1" applyBorder="1" applyAlignment="1">
      <alignment vertical="center" wrapText="1" readingOrder="1"/>
    </xf>
    <xf numFmtId="49" fontId="5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center" wrapText="1" readingOrder="1"/>
    </xf>
    <xf numFmtId="49" fontId="8" fillId="0" borderId="11" xfId="0" applyNumberFormat="1" applyFont="1" applyFill="1" applyBorder="1" applyAlignment="1">
      <alignment horizontal="center" vertical="center" wrapText="1" readingOrder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vertical="center" wrapText="1" readingOrder="1"/>
    </xf>
    <xf numFmtId="49" fontId="5" fillId="0" borderId="14" xfId="0" applyNumberFormat="1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vertical="center" wrapText="1" readingOrder="1"/>
    </xf>
    <xf numFmtId="49" fontId="5" fillId="0" borderId="16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vertical="center" wrapText="1" readingOrder="1"/>
    </xf>
    <xf numFmtId="49" fontId="5" fillId="0" borderId="12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 wrapText="1" readingOrder="1"/>
    </xf>
    <xf numFmtId="0" fontId="5" fillId="0" borderId="0" xfId="0" applyFont="1" applyFill="1" applyBorder="1" applyAlignment="1">
      <alignment horizontal="left" vertical="center" wrapText="1" readingOrder="1"/>
    </xf>
    <xf numFmtId="0" fontId="5" fillId="0" borderId="10" xfId="0" applyFont="1" applyFill="1" applyBorder="1" applyAlignment="1">
      <alignment horizontal="left" vertical="center" wrapText="1" readingOrder="1"/>
    </xf>
    <xf numFmtId="49" fontId="8" fillId="0" borderId="11" xfId="0" applyNumberFormat="1" applyFont="1" applyFill="1" applyBorder="1" applyAlignment="1">
      <alignment vertical="center" wrapText="1" readingOrder="1"/>
    </xf>
    <xf numFmtId="49" fontId="5" fillId="0" borderId="11" xfId="0" applyNumberFormat="1" applyFont="1" applyFill="1" applyBorder="1" applyAlignment="1">
      <alignment vertical="center"/>
    </xf>
    <xf numFmtId="49" fontId="8" fillId="0" borderId="16" xfId="0" applyNumberFormat="1" applyFont="1" applyFill="1" applyBorder="1" applyAlignment="1">
      <alignment horizontal="center" vertical="center" wrapText="1" readingOrder="1"/>
    </xf>
    <xf numFmtId="49" fontId="8" fillId="0" borderId="12" xfId="0" applyNumberFormat="1" applyFont="1" applyFill="1" applyBorder="1" applyAlignment="1">
      <alignment horizontal="center" vertical="center" wrapText="1" readingOrder="1"/>
    </xf>
    <xf numFmtId="49" fontId="8" fillId="0" borderId="16" xfId="0" applyNumberFormat="1" applyFont="1" applyFill="1" applyBorder="1" applyAlignment="1">
      <alignment horizontal="center" vertical="center" readingOrder="1"/>
    </xf>
    <xf numFmtId="49" fontId="8" fillId="0" borderId="12" xfId="0" applyNumberFormat="1" applyFont="1" applyFill="1" applyBorder="1" applyAlignment="1">
      <alignment horizontal="center" vertical="center" readingOrder="1"/>
    </xf>
    <xf numFmtId="0" fontId="8" fillId="0" borderId="15" xfId="0" applyFont="1" applyFill="1" applyBorder="1" applyAlignment="1">
      <alignment horizontal="center" vertical="center" readingOrder="1"/>
    </xf>
    <xf numFmtId="49" fontId="8" fillId="0" borderId="13" xfId="0" applyNumberFormat="1" applyFont="1" applyFill="1" applyBorder="1" applyAlignment="1">
      <alignment horizontal="center" vertical="center" wrapText="1" readingOrder="1"/>
    </xf>
    <xf numFmtId="0" fontId="8" fillId="0" borderId="15" xfId="0" applyFont="1" applyFill="1" applyBorder="1" applyAlignment="1">
      <alignment horizontal="center" vertical="center" wrapText="1" readingOrder="1"/>
    </xf>
    <xf numFmtId="0" fontId="7" fillId="0" borderId="0" xfId="0" applyFont="1" applyFill="1" applyAlignment="1">
      <alignment horizontal="left" vertical="center" wrapText="1" readingOrder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rmal_page_48_49" xfId="62"/>
    <cellStyle name="Normal_page_50_5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13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0" width="9.140625" style="19" customWidth="1"/>
    <col min="11" max="14" width="9.140625" style="20" customWidth="1"/>
    <col min="15" max="16384" width="9.140625" style="19" customWidth="1"/>
  </cols>
  <sheetData>
    <row r="1" spans="1:11" ht="26.25" thickBot="1">
      <c r="A1" s="230" t="s">
        <v>148</v>
      </c>
      <c r="B1" s="231"/>
      <c r="C1" s="231"/>
      <c r="D1" s="231"/>
      <c r="E1" s="231"/>
      <c r="F1" s="231"/>
      <c r="G1" s="231"/>
      <c r="H1" s="231"/>
      <c r="I1" s="231"/>
      <c r="J1" s="231"/>
      <c r="K1" s="232"/>
    </row>
    <row r="13" ht="12.75">
      <c r="J13" s="21"/>
    </row>
  </sheetData>
  <sheetProtection/>
  <mergeCells count="1">
    <mergeCell ref="A1:K1"/>
  </mergeCells>
  <printOptions horizontalCentered="1" verticalCentered="1"/>
  <pageMargins left="0" right="0" top="0.5" bottom="0.5" header="0.5" footer="0.5"/>
  <pageSetup firstPageNumber="7" useFirstPageNumber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3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4.7109375" style="1" customWidth="1"/>
    <col min="2" max="5" width="13.57421875" style="1" customWidth="1"/>
    <col min="6" max="6" width="14.8515625" style="1" customWidth="1"/>
    <col min="7" max="7" width="19.28125" style="1" customWidth="1"/>
    <col min="8" max="9" width="14.00390625" style="1" customWidth="1"/>
    <col min="10" max="10" width="11.7109375" style="1" customWidth="1"/>
    <col min="11" max="11" width="9.140625" style="1" customWidth="1"/>
    <col min="12" max="12" width="12.57421875" style="1" customWidth="1"/>
    <col min="13" max="13" width="9.140625" style="1" customWidth="1"/>
    <col min="14" max="14" width="12.00390625" style="1" customWidth="1"/>
    <col min="15" max="15" width="10.7109375" style="1" customWidth="1"/>
    <col min="16" max="16" width="11.8515625" style="1" customWidth="1"/>
    <col min="17" max="16384" width="9.140625" style="1" customWidth="1"/>
  </cols>
  <sheetData>
    <row r="1" spans="1:5" s="3" customFormat="1" ht="19.5" customHeight="1">
      <c r="A1" s="176" t="s">
        <v>171</v>
      </c>
      <c r="B1" s="176"/>
      <c r="C1" s="176"/>
      <c r="D1" s="176"/>
      <c r="E1" s="176"/>
    </row>
    <row r="2" ht="6.75" customHeight="1" thickBot="1"/>
    <row r="3" spans="1:5" s="3" customFormat="1" ht="13.5" customHeight="1" thickBot="1">
      <c r="A3" s="106" t="s">
        <v>63</v>
      </c>
      <c r="B3" s="178">
        <v>2006</v>
      </c>
      <c r="C3" s="178">
        <v>2007</v>
      </c>
      <c r="D3" s="178">
        <v>2008</v>
      </c>
      <c r="E3" s="178">
        <v>2009</v>
      </c>
    </row>
    <row r="4" spans="1:5" ht="15.75" customHeight="1">
      <c r="A4" s="113" t="s">
        <v>61</v>
      </c>
      <c r="B4" s="99">
        <v>8353</v>
      </c>
      <c r="C4" s="99">
        <v>8480</v>
      </c>
      <c r="D4" s="99">
        <v>11529</v>
      </c>
      <c r="E4" s="99">
        <v>11992</v>
      </c>
    </row>
    <row r="5" spans="1:5" ht="15.75" customHeight="1" thickBot="1">
      <c r="A5" s="114" t="s">
        <v>62</v>
      </c>
      <c r="B5" s="115">
        <v>1038</v>
      </c>
      <c r="C5" s="115">
        <v>846</v>
      </c>
      <c r="D5" s="115">
        <v>797</v>
      </c>
      <c r="E5" s="115">
        <v>925</v>
      </c>
    </row>
    <row r="6" spans="1:5" ht="15.75" customHeight="1" thickBot="1">
      <c r="A6" s="116" t="s">
        <v>0</v>
      </c>
      <c r="B6" s="117">
        <v>9391</v>
      </c>
      <c r="C6" s="117">
        <v>9326</v>
      </c>
      <c r="D6" s="117">
        <v>12326</v>
      </c>
      <c r="E6" s="117">
        <v>12917</v>
      </c>
    </row>
    <row r="7" spans="1:2" s="3" customFormat="1" ht="12.75">
      <c r="A7" s="107" t="s">
        <v>93</v>
      </c>
      <c r="B7" s="15"/>
    </row>
    <row r="9" spans="1:5" s="3" customFormat="1" ht="19.5" customHeight="1">
      <c r="A9" s="176" t="s">
        <v>182</v>
      </c>
      <c r="B9" s="176"/>
      <c r="C9" s="176"/>
      <c r="D9" s="176"/>
      <c r="E9" s="176"/>
    </row>
    <row r="10" s="3" customFormat="1" ht="6.75" customHeight="1" thickBot="1">
      <c r="B10" s="15"/>
    </row>
    <row r="11" spans="1:11" s="3" customFormat="1" ht="13.5" customHeight="1" thickBot="1">
      <c r="A11" s="5"/>
      <c r="B11" s="179">
        <v>2006</v>
      </c>
      <c r="C11" s="179">
        <v>2007</v>
      </c>
      <c r="D11" s="179">
        <v>2008</v>
      </c>
      <c r="E11" s="179">
        <v>2009</v>
      </c>
      <c r="F11" s="22"/>
      <c r="G11" s="22"/>
      <c r="H11" s="22"/>
      <c r="I11" s="22"/>
      <c r="J11" s="22"/>
      <c r="K11" s="22"/>
    </row>
    <row r="12" spans="1:5" s="3" customFormat="1" ht="13.5" thickBot="1">
      <c r="A12" s="106" t="s">
        <v>63</v>
      </c>
      <c r="B12" s="267" t="s">
        <v>83</v>
      </c>
      <c r="C12" s="267"/>
      <c r="D12" s="267"/>
      <c r="E12" s="267"/>
    </row>
    <row r="13" spans="1:5" s="3" customFormat="1" ht="15.75" customHeight="1" thickBot="1">
      <c r="A13" s="151" t="s">
        <v>64</v>
      </c>
      <c r="B13" s="118">
        <v>8253</v>
      </c>
      <c r="C13" s="118">
        <v>8480</v>
      </c>
      <c r="D13" s="118">
        <v>11529</v>
      </c>
      <c r="E13" s="118">
        <v>11992</v>
      </c>
    </row>
    <row r="14" spans="1:5" s="3" customFormat="1" ht="15.75" customHeight="1">
      <c r="A14" s="119" t="s">
        <v>65</v>
      </c>
      <c r="B14" s="41">
        <v>52</v>
      </c>
      <c r="C14" s="41">
        <v>45</v>
      </c>
      <c r="D14" s="41">
        <v>67</v>
      </c>
      <c r="E14" s="41">
        <v>71</v>
      </c>
    </row>
    <row r="15" spans="1:5" s="3" customFormat="1" ht="15.75" customHeight="1">
      <c r="A15" s="120" t="s">
        <v>66</v>
      </c>
      <c r="B15" s="42">
        <v>99</v>
      </c>
      <c r="C15" s="42">
        <v>109</v>
      </c>
      <c r="D15" s="42">
        <v>117</v>
      </c>
      <c r="E15" s="42">
        <v>118</v>
      </c>
    </row>
    <row r="16" spans="1:5" s="3" customFormat="1" ht="15.75" customHeight="1">
      <c r="A16" s="120" t="s">
        <v>31</v>
      </c>
      <c r="B16" s="42">
        <v>3026</v>
      </c>
      <c r="C16" s="42">
        <v>2882</v>
      </c>
      <c r="D16" s="42">
        <v>4445</v>
      </c>
      <c r="E16" s="42">
        <v>4051</v>
      </c>
    </row>
    <row r="17" spans="1:5" s="3" customFormat="1" ht="15.75" customHeight="1">
      <c r="A17" s="120" t="s">
        <v>67</v>
      </c>
      <c r="B17" s="42">
        <v>103</v>
      </c>
      <c r="C17" s="42">
        <v>986</v>
      </c>
      <c r="D17" s="42">
        <v>2045</v>
      </c>
      <c r="E17" s="42">
        <v>1943</v>
      </c>
    </row>
    <row r="18" spans="1:5" s="3" customFormat="1" ht="15.75" customHeight="1">
      <c r="A18" s="120" t="s">
        <v>68</v>
      </c>
      <c r="B18" s="42">
        <v>208</v>
      </c>
      <c r="C18" s="42">
        <v>153</v>
      </c>
      <c r="D18" s="42">
        <v>308</v>
      </c>
      <c r="E18" s="42">
        <v>405</v>
      </c>
    </row>
    <row r="19" spans="1:5" s="3" customFormat="1" ht="15.75" customHeight="1">
      <c r="A19" s="120" t="s">
        <v>69</v>
      </c>
      <c r="B19" s="42">
        <v>748</v>
      </c>
      <c r="C19" s="42">
        <v>751</v>
      </c>
      <c r="D19" s="42">
        <v>718</v>
      </c>
      <c r="E19" s="42">
        <v>1436</v>
      </c>
    </row>
    <row r="20" spans="1:5" s="3" customFormat="1" ht="15.75" customHeight="1">
      <c r="A20" s="120" t="s">
        <v>70</v>
      </c>
      <c r="B20" s="42">
        <v>1639</v>
      </c>
      <c r="C20" s="42">
        <v>1269</v>
      </c>
      <c r="D20" s="42">
        <v>1353</v>
      </c>
      <c r="E20" s="42">
        <v>1118</v>
      </c>
    </row>
    <row r="21" spans="1:5" s="3" customFormat="1" ht="15.75" customHeight="1">
      <c r="A21" s="120" t="s">
        <v>71</v>
      </c>
      <c r="B21" s="42">
        <v>679</v>
      </c>
      <c r="C21" s="42">
        <v>776</v>
      </c>
      <c r="D21" s="42">
        <v>797</v>
      </c>
      <c r="E21" s="42">
        <v>826</v>
      </c>
    </row>
    <row r="22" spans="1:5" s="3" customFormat="1" ht="15.75" customHeight="1">
      <c r="A22" s="120" t="s">
        <v>72</v>
      </c>
      <c r="B22" s="42">
        <v>274</v>
      </c>
      <c r="C22" s="42">
        <v>239</v>
      </c>
      <c r="D22" s="42">
        <v>267</v>
      </c>
      <c r="E22" s="42">
        <v>278</v>
      </c>
    </row>
    <row r="23" spans="1:5" s="3" customFormat="1" ht="15.75" customHeight="1">
      <c r="A23" s="120" t="s">
        <v>73</v>
      </c>
      <c r="B23" s="42">
        <v>63</v>
      </c>
      <c r="C23" s="42">
        <v>56</v>
      </c>
      <c r="D23" s="42">
        <v>55</v>
      </c>
      <c r="E23" s="42">
        <v>90</v>
      </c>
    </row>
    <row r="24" spans="1:5" s="3" customFormat="1" ht="15.75" customHeight="1">
      <c r="A24" s="120" t="s">
        <v>74</v>
      </c>
      <c r="B24" s="42">
        <v>819</v>
      </c>
      <c r="C24" s="42">
        <v>986</v>
      </c>
      <c r="D24" s="42">
        <v>1116</v>
      </c>
      <c r="E24" s="42">
        <v>1349</v>
      </c>
    </row>
    <row r="25" spans="1:5" s="3" customFormat="1" ht="15.75" customHeight="1">
      <c r="A25" s="120" t="s">
        <v>75</v>
      </c>
      <c r="B25" s="42">
        <v>192</v>
      </c>
      <c r="C25" s="42">
        <v>218</v>
      </c>
      <c r="D25" s="42">
        <v>241</v>
      </c>
      <c r="E25" s="42">
        <v>307</v>
      </c>
    </row>
    <row r="26" spans="1:5" s="3" customFormat="1" ht="15.75" customHeight="1" thickBot="1">
      <c r="A26" s="121" t="s">
        <v>45</v>
      </c>
      <c r="B26" s="43">
        <v>351</v>
      </c>
      <c r="C26" s="43">
        <v>10</v>
      </c>
      <c r="D26" s="43">
        <v>0</v>
      </c>
      <c r="E26" s="43">
        <v>0</v>
      </c>
    </row>
    <row r="27" spans="1:5" s="3" customFormat="1" ht="15.75" customHeight="1" thickBot="1">
      <c r="A27" s="151" t="s">
        <v>76</v>
      </c>
      <c r="B27" s="102">
        <v>1038</v>
      </c>
      <c r="C27" s="102">
        <v>846</v>
      </c>
      <c r="D27" s="122">
        <v>797</v>
      </c>
      <c r="E27" s="122">
        <v>925</v>
      </c>
    </row>
    <row r="28" spans="1:5" s="3" customFormat="1" ht="15.75" customHeight="1">
      <c r="A28" s="123" t="s">
        <v>77</v>
      </c>
      <c r="B28" s="94">
        <v>75</v>
      </c>
      <c r="C28" s="94">
        <v>89</v>
      </c>
      <c r="D28" s="94">
        <v>94</v>
      </c>
      <c r="E28" s="94">
        <v>64</v>
      </c>
    </row>
    <row r="29" spans="1:5" s="3" customFormat="1" ht="15.75" customHeight="1">
      <c r="A29" s="124" t="s">
        <v>78</v>
      </c>
      <c r="B29" s="95">
        <v>148</v>
      </c>
      <c r="C29" s="95">
        <v>159</v>
      </c>
      <c r="D29" s="95">
        <v>168</v>
      </c>
      <c r="E29" s="95">
        <v>155</v>
      </c>
    </row>
    <row r="30" spans="1:5" s="3" customFormat="1" ht="15.75" customHeight="1">
      <c r="A30" s="120" t="s">
        <v>79</v>
      </c>
      <c r="B30" s="95">
        <v>102</v>
      </c>
      <c r="C30" s="95">
        <v>83</v>
      </c>
      <c r="D30" s="95">
        <v>89</v>
      </c>
      <c r="E30" s="95">
        <v>116</v>
      </c>
    </row>
    <row r="31" spans="1:5" s="3" customFormat="1" ht="15.75" customHeight="1">
      <c r="A31" s="124" t="s">
        <v>80</v>
      </c>
      <c r="B31" s="95">
        <v>459</v>
      </c>
      <c r="C31" s="95">
        <v>447</v>
      </c>
      <c r="D31" s="95">
        <v>413</v>
      </c>
      <c r="E31" s="95">
        <v>432</v>
      </c>
    </row>
    <row r="32" spans="1:5" s="3" customFormat="1" ht="15.75" customHeight="1">
      <c r="A32" s="120" t="s">
        <v>81</v>
      </c>
      <c r="B32" s="95">
        <v>108</v>
      </c>
      <c r="C32" s="95">
        <v>51</v>
      </c>
      <c r="D32" s="95">
        <v>19</v>
      </c>
      <c r="E32" s="95">
        <v>75</v>
      </c>
    </row>
    <row r="33" spans="1:5" s="3" customFormat="1" ht="15.75" customHeight="1">
      <c r="A33" s="120" t="s">
        <v>82</v>
      </c>
      <c r="B33" s="95">
        <v>29</v>
      </c>
      <c r="C33" s="95">
        <v>17</v>
      </c>
      <c r="D33" s="95">
        <v>14</v>
      </c>
      <c r="E33" s="95">
        <v>32</v>
      </c>
    </row>
    <row r="34" spans="1:5" s="3" customFormat="1" ht="15.75" customHeight="1" thickBot="1">
      <c r="A34" s="121" t="s">
        <v>45</v>
      </c>
      <c r="B34" s="96">
        <v>117</v>
      </c>
      <c r="C34" s="96">
        <v>0</v>
      </c>
      <c r="D34" s="96">
        <v>0</v>
      </c>
      <c r="E34" s="96">
        <v>51</v>
      </c>
    </row>
    <row r="35" spans="1:2" s="3" customFormat="1" ht="12.75">
      <c r="A35" s="107" t="s">
        <v>93</v>
      </c>
      <c r="B35" s="15"/>
    </row>
  </sheetData>
  <sheetProtection/>
  <mergeCells count="1">
    <mergeCell ref="B12:E12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1.140625" style="1" customWidth="1"/>
    <col min="3" max="9" width="10.7109375" style="1" customWidth="1"/>
    <col min="10" max="16384" width="9.140625" style="1" customWidth="1"/>
  </cols>
  <sheetData>
    <row r="1" spans="1:11" s="3" customFormat="1" ht="19.5" customHeight="1">
      <c r="A1" s="176" t="s">
        <v>183</v>
      </c>
      <c r="B1" s="171"/>
      <c r="C1" s="171"/>
      <c r="D1" s="171"/>
      <c r="E1" s="171"/>
      <c r="F1" s="171"/>
      <c r="G1" s="171"/>
      <c r="H1" s="171"/>
      <c r="I1" s="171"/>
      <c r="J1" s="150"/>
      <c r="K1" s="150"/>
    </row>
    <row r="2" s="3" customFormat="1" ht="6.75" customHeight="1" thickBot="1">
      <c r="B2" s="15"/>
    </row>
    <row r="3" spans="1:10" s="3" customFormat="1" ht="13.5" customHeight="1" thickBot="1">
      <c r="A3" s="265">
        <v>2006</v>
      </c>
      <c r="B3" s="265"/>
      <c r="C3" s="265"/>
      <c r="D3" s="265"/>
      <c r="E3" s="265"/>
      <c r="F3" s="265"/>
      <c r="G3" s="265"/>
      <c r="H3" s="265"/>
      <c r="I3" s="265"/>
      <c r="J3" s="22"/>
    </row>
    <row r="4" spans="1:11" s="3" customFormat="1" ht="26.25" thickBot="1">
      <c r="A4" s="267" t="s">
        <v>84</v>
      </c>
      <c r="B4" s="267"/>
      <c r="C4" s="177" t="s">
        <v>25</v>
      </c>
      <c r="D4" s="177" t="s">
        <v>34</v>
      </c>
      <c r="E4" s="177" t="s">
        <v>28</v>
      </c>
      <c r="F4" s="177" t="s">
        <v>29</v>
      </c>
      <c r="G4" s="177" t="s">
        <v>30</v>
      </c>
      <c r="H4" s="177" t="s">
        <v>0</v>
      </c>
      <c r="I4" s="177" t="s">
        <v>85</v>
      </c>
      <c r="J4" s="111"/>
      <c r="K4" s="111"/>
    </row>
    <row r="5" spans="1:11" s="3" customFormat="1" ht="19.5" customHeight="1">
      <c r="A5" s="268" t="s">
        <v>88</v>
      </c>
      <c r="B5" s="269"/>
      <c r="C5" s="42">
        <v>3</v>
      </c>
      <c r="D5" s="42">
        <v>682</v>
      </c>
      <c r="E5" s="95">
        <v>213</v>
      </c>
      <c r="F5" s="95">
        <v>291</v>
      </c>
      <c r="G5" s="95">
        <v>311</v>
      </c>
      <c r="H5" s="42">
        <v>1500</v>
      </c>
      <c r="I5" s="126">
        <v>44.869877355668564</v>
      </c>
      <c r="J5" s="111"/>
      <c r="K5" s="111"/>
    </row>
    <row r="6" spans="1:9" s="3" customFormat="1" ht="19.5" customHeight="1">
      <c r="A6" s="270" t="s">
        <v>87</v>
      </c>
      <c r="B6" s="270"/>
      <c r="C6" s="42">
        <v>78</v>
      </c>
      <c r="D6" s="42">
        <v>602</v>
      </c>
      <c r="E6" s="95">
        <v>89</v>
      </c>
      <c r="F6" s="95">
        <v>228</v>
      </c>
      <c r="G6" s="95">
        <v>143</v>
      </c>
      <c r="H6" s="42">
        <v>1140</v>
      </c>
      <c r="I6" s="126">
        <v>34.10110679030811</v>
      </c>
    </row>
    <row r="7" spans="1:9" s="3" customFormat="1" ht="19.5" customHeight="1">
      <c r="A7" s="273" t="s">
        <v>86</v>
      </c>
      <c r="B7" s="274"/>
      <c r="C7" s="143">
        <v>60</v>
      </c>
      <c r="D7" s="143">
        <v>375</v>
      </c>
      <c r="E7" s="166">
        <v>38</v>
      </c>
      <c r="F7" s="166">
        <v>73</v>
      </c>
      <c r="G7" s="166">
        <v>24</v>
      </c>
      <c r="H7" s="143">
        <v>570</v>
      </c>
      <c r="I7" s="167">
        <v>17.050553395154054</v>
      </c>
    </row>
    <row r="8" spans="1:9" s="3" customFormat="1" ht="19.5" customHeight="1" thickBot="1">
      <c r="A8" s="277" t="s">
        <v>89</v>
      </c>
      <c r="B8" s="278"/>
      <c r="C8" s="43">
        <v>0</v>
      </c>
      <c r="D8" s="43">
        <v>26</v>
      </c>
      <c r="E8" s="96">
        <v>37</v>
      </c>
      <c r="F8" s="96">
        <v>34</v>
      </c>
      <c r="G8" s="96">
        <v>36</v>
      </c>
      <c r="H8" s="43">
        <v>133</v>
      </c>
      <c r="I8" s="127">
        <v>3.978462458869279</v>
      </c>
    </row>
    <row r="9" spans="1:9" s="3" customFormat="1" ht="19.5" customHeight="1" thickBot="1">
      <c r="A9" s="271" t="s">
        <v>0</v>
      </c>
      <c r="B9" s="272"/>
      <c r="C9" s="70">
        <v>141</v>
      </c>
      <c r="D9" s="70">
        <v>1685</v>
      </c>
      <c r="E9" s="70">
        <v>377</v>
      </c>
      <c r="F9" s="70">
        <v>626</v>
      </c>
      <c r="G9" s="70">
        <v>514</v>
      </c>
      <c r="H9" s="70">
        <v>3343</v>
      </c>
      <c r="I9" s="130">
        <v>100</v>
      </c>
    </row>
    <row r="10" spans="1:10" s="3" customFormat="1" ht="13.5" thickBot="1">
      <c r="A10" s="265">
        <v>2007</v>
      </c>
      <c r="B10" s="265"/>
      <c r="C10" s="265"/>
      <c r="D10" s="265"/>
      <c r="E10" s="265"/>
      <c r="F10" s="265"/>
      <c r="G10" s="265"/>
      <c r="H10" s="265"/>
      <c r="I10" s="265"/>
      <c r="J10" s="22"/>
    </row>
    <row r="11" spans="1:11" s="3" customFormat="1" ht="26.25" thickBot="1">
      <c r="A11" s="267" t="s">
        <v>84</v>
      </c>
      <c r="B11" s="267"/>
      <c r="C11" s="177" t="s">
        <v>25</v>
      </c>
      <c r="D11" s="177" t="s">
        <v>34</v>
      </c>
      <c r="E11" s="177" t="s">
        <v>28</v>
      </c>
      <c r="F11" s="177" t="s">
        <v>29</v>
      </c>
      <c r="G11" s="177" t="s">
        <v>30</v>
      </c>
      <c r="H11" s="177" t="s">
        <v>0</v>
      </c>
      <c r="I11" s="177" t="s">
        <v>85</v>
      </c>
      <c r="J11" s="111"/>
      <c r="K11" s="111"/>
    </row>
    <row r="12" spans="1:9" s="3" customFormat="1" ht="19.5" customHeight="1">
      <c r="A12" s="275" t="s">
        <v>88</v>
      </c>
      <c r="B12" s="276"/>
      <c r="C12" s="41">
        <v>18</v>
      </c>
      <c r="D12" s="41">
        <v>783</v>
      </c>
      <c r="E12" s="94">
        <v>224</v>
      </c>
      <c r="F12" s="94">
        <v>348</v>
      </c>
      <c r="G12" s="94">
        <v>260</v>
      </c>
      <c r="H12" s="41">
        <v>1633</v>
      </c>
      <c r="I12" s="125">
        <v>48.84833981453784</v>
      </c>
    </row>
    <row r="13" spans="1:9" s="3" customFormat="1" ht="19.5" customHeight="1">
      <c r="A13" s="270" t="s">
        <v>87</v>
      </c>
      <c r="B13" s="270"/>
      <c r="C13" s="42">
        <v>53</v>
      </c>
      <c r="D13" s="42">
        <v>809</v>
      </c>
      <c r="E13" s="95">
        <v>91</v>
      </c>
      <c r="F13" s="95">
        <v>243</v>
      </c>
      <c r="G13" s="95">
        <v>192</v>
      </c>
      <c r="H13" s="42">
        <v>1388</v>
      </c>
      <c r="I13" s="126">
        <v>41.51959317977864</v>
      </c>
    </row>
    <row r="14" spans="1:9" s="3" customFormat="1" ht="19.5" customHeight="1">
      <c r="A14" s="273" t="s">
        <v>86</v>
      </c>
      <c r="B14" s="274"/>
      <c r="C14" s="143">
        <v>72</v>
      </c>
      <c r="D14" s="143">
        <v>245</v>
      </c>
      <c r="E14" s="166">
        <v>19</v>
      </c>
      <c r="F14" s="166">
        <v>30</v>
      </c>
      <c r="G14" s="166">
        <v>11</v>
      </c>
      <c r="H14" s="143">
        <v>377</v>
      </c>
      <c r="I14" s="167">
        <v>11.277295842058031</v>
      </c>
    </row>
    <row r="15" spans="1:9" s="3" customFormat="1" ht="19.5" customHeight="1" thickBot="1">
      <c r="A15" s="277" t="s">
        <v>89</v>
      </c>
      <c r="B15" s="278"/>
      <c r="C15" s="43">
        <v>0</v>
      </c>
      <c r="D15" s="43">
        <v>30</v>
      </c>
      <c r="E15" s="96">
        <v>69</v>
      </c>
      <c r="F15" s="96">
        <v>60</v>
      </c>
      <c r="G15" s="96">
        <v>40</v>
      </c>
      <c r="H15" s="43">
        <v>199</v>
      </c>
      <c r="I15" s="127">
        <v>5.952737062518696</v>
      </c>
    </row>
    <row r="16" spans="1:9" s="3" customFormat="1" ht="19.5" customHeight="1" thickBot="1">
      <c r="A16" s="271" t="s">
        <v>0</v>
      </c>
      <c r="B16" s="272"/>
      <c r="C16" s="34">
        <v>143</v>
      </c>
      <c r="D16" s="34">
        <v>1867</v>
      </c>
      <c r="E16" s="34">
        <v>403</v>
      </c>
      <c r="F16" s="34">
        <v>681</v>
      </c>
      <c r="G16" s="34">
        <v>503</v>
      </c>
      <c r="H16" s="34">
        <v>3597</v>
      </c>
      <c r="I16" s="129">
        <v>107.59796589889321</v>
      </c>
    </row>
    <row r="17" spans="1:10" s="3" customFormat="1" ht="13.5" thickBot="1">
      <c r="A17" s="265">
        <v>2008</v>
      </c>
      <c r="B17" s="265"/>
      <c r="C17" s="265"/>
      <c r="D17" s="265"/>
      <c r="E17" s="265"/>
      <c r="F17" s="265"/>
      <c r="G17" s="265"/>
      <c r="H17" s="265"/>
      <c r="I17" s="265"/>
      <c r="J17" s="22"/>
    </row>
    <row r="18" spans="1:11" s="3" customFormat="1" ht="26.25" thickBot="1">
      <c r="A18" s="267" t="s">
        <v>84</v>
      </c>
      <c r="B18" s="267"/>
      <c r="C18" s="177" t="s">
        <v>25</v>
      </c>
      <c r="D18" s="177" t="s">
        <v>34</v>
      </c>
      <c r="E18" s="177" t="s">
        <v>28</v>
      </c>
      <c r="F18" s="177" t="s">
        <v>29</v>
      </c>
      <c r="G18" s="177" t="s">
        <v>30</v>
      </c>
      <c r="H18" s="177" t="s">
        <v>0</v>
      </c>
      <c r="I18" s="177" t="s">
        <v>85</v>
      </c>
      <c r="J18" s="111"/>
      <c r="K18" s="111"/>
    </row>
    <row r="19" spans="1:9" s="3" customFormat="1" ht="19.5" customHeight="1">
      <c r="A19" s="270" t="s">
        <v>87</v>
      </c>
      <c r="B19" s="270"/>
      <c r="C19" s="42">
        <v>141</v>
      </c>
      <c r="D19" s="42">
        <v>1795</v>
      </c>
      <c r="E19" s="95">
        <v>185</v>
      </c>
      <c r="F19" s="95">
        <v>540</v>
      </c>
      <c r="G19" s="95">
        <v>367</v>
      </c>
      <c r="H19" s="42">
        <v>3028</v>
      </c>
      <c r="I19" s="126">
        <v>90.5773257553096</v>
      </c>
    </row>
    <row r="20" spans="1:9" s="3" customFormat="1" ht="19.5" customHeight="1">
      <c r="A20" s="268" t="s">
        <v>88</v>
      </c>
      <c r="B20" s="269"/>
      <c r="C20" s="42">
        <v>24</v>
      </c>
      <c r="D20" s="42">
        <v>1051</v>
      </c>
      <c r="E20" s="95">
        <v>469</v>
      </c>
      <c r="F20" s="95">
        <v>746</v>
      </c>
      <c r="G20" s="95">
        <v>494</v>
      </c>
      <c r="H20" s="42">
        <v>2784</v>
      </c>
      <c r="I20" s="126">
        <v>83.27849237212085</v>
      </c>
    </row>
    <row r="21" spans="1:9" s="3" customFormat="1" ht="19.5" customHeight="1">
      <c r="A21" s="273" t="s">
        <v>86</v>
      </c>
      <c r="B21" s="274"/>
      <c r="C21" s="143">
        <v>78</v>
      </c>
      <c r="D21" s="143">
        <v>266</v>
      </c>
      <c r="E21" s="166">
        <v>11</v>
      </c>
      <c r="F21" s="166">
        <v>29</v>
      </c>
      <c r="G21" s="166">
        <v>27</v>
      </c>
      <c r="H21" s="143">
        <v>411</v>
      </c>
      <c r="I21" s="167">
        <v>12.294346395453186</v>
      </c>
    </row>
    <row r="22" spans="1:9" s="3" customFormat="1" ht="19.5" customHeight="1" thickBot="1">
      <c r="A22" s="277" t="s">
        <v>89</v>
      </c>
      <c r="B22" s="278"/>
      <c r="C22" s="103">
        <v>0</v>
      </c>
      <c r="D22" s="103">
        <v>58</v>
      </c>
      <c r="E22" s="131">
        <v>150</v>
      </c>
      <c r="F22" s="131">
        <v>54</v>
      </c>
      <c r="G22" s="131">
        <v>54</v>
      </c>
      <c r="H22" s="103">
        <v>316</v>
      </c>
      <c r="I22" s="132">
        <v>9.452587496260843</v>
      </c>
    </row>
    <row r="23" spans="1:9" s="3" customFormat="1" ht="19.5" customHeight="1" thickBot="1">
      <c r="A23" s="271" t="s">
        <v>0</v>
      </c>
      <c r="B23" s="272"/>
      <c r="C23" s="34">
        <v>243</v>
      </c>
      <c r="D23" s="34">
        <v>3170</v>
      </c>
      <c r="E23" s="34">
        <v>815</v>
      </c>
      <c r="F23" s="34">
        <v>1369</v>
      </c>
      <c r="G23" s="34">
        <v>942</v>
      </c>
      <c r="H23" s="34">
        <v>6539</v>
      </c>
      <c r="I23" s="129">
        <v>195.60275201914448</v>
      </c>
    </row>
    <row r="24" spans="1:2" s="3" customFormat="1" ht="12.75">
      <c r="A24" s="107" t="s">
        <v>93</v>
      </c>
      <c r="B24" s="15"/>
    </row>
    <row r="25" s="3" customFormat="1" ht="12.75">
      <c r="B25" s="15"/>
    </row>
    <row r="26" s="3" customFormat="1" ht="12.75">
      <c r="B26" s="15"/>
    </row>
    <row r="27" s="3" customFormat="1" ht="12.75">
      <c r="B27" s="15"/>
    </row>
    <row r="28" s="3" customFormat="1" ht="12.75">
      <c r="B28" s="15"/>
    </row>
    <row r="29" s="3" customFormat="1" ht="12.75">
      <c r="B29" s="15"/>
    </row>
    <row r="30" s="3" customFormat="1" ht="12.75">
      <c r="B30" s="15"/>
    </row>
    <row r="31" s="3" customFormat="1" ht="12.75">
      <c r="B31" s="15"/>
    </row>
    <row r="32" s="3" customFormat="1" ht="12.75">
      <c r="B32" s="15"/>
    </row>
    <row r="33" s="3" customFormat="1" ht="12.75">
      <c r="B33" s="15"/>
    </row>
    <row r="34" s="3" customFormat="1" ht="12.75">
      <c r="B34" s="15"/>
    </row>
    <row r="35" s="3" customFormat="1" ht="12.75">
      <c r="B35" s="15"/>
    </row>
    <row r="36" s="3" customFormat="1" ht="12.75">
      <c r="B36" s="15"/>
    </row>
    <row r="37" s="3" customFormat="1" ht="12.75">
      <c r="B37" s="15"/>
    </row>
    <row r="38" s="3" customFormat="1" ht="12.75">
      <c r="B38" s="15"/>
    </row>
    <row r="39" s="3" customFormat="1" ht="12.75">
      <c r="B39" s="15"/>
    </row>
    <row r="40" s="3" customFormat="1" ht="12.75">
      <c r="B40" s="15"/>
    </row>
    <row r="41" s="3" customFormat="1" ht="12.75">
      <c r="B41" s="15"/>
    </row>
    <row r="42" s="3" customFormat="1" ht="12.75">
      <c r="B42" s="15"/>
    </row>
    <row r="43" s="3" customFormat="1" ht="12.75">
      <c r="B43" s="15"/>
    </row>
    <row r="44" s="3" customFormat="1" ht="12.75">
      <c r="B44" s="15"/>
    </row>
    <row r="45" s="3" customFormat="1" ht="12.75">
      <c r="B45" s="15"/>
    </row>
    <row r="46" s="3" customFormat="1" ht="12.75">
      <c r="B46" s="15"/>
    </row>
    <row r="47" s="3" customFormat="1" ht="12.75">
      <c r="B47" s="15"/>
    </row>
    <row r="48" s="3" customFormat="1" ht="12.75">
      <c r="B48" s="15"/>
    </row>
    <row r="49" s="3" customFormat="1" ht="12.75">
      <c r="B49" s="15"/>
    </row>
    <row r="50" s="3" customFormat="1" ht="12.75">
      <c r="B50" s="15"/>
    </row>
    <row r="51" s="3" customFormat="1" ht="12.75">
      <c r="B51" s="15"/>
    </row>
    <row r="52" s="3" customFormat="1" ht="19.5" customHeight="1"/>
    <row r="53" s="3" customFormat="1" ht="12.75"/>
    <row r="54" s="3" customFormat="1" ht="6.75" customHeight="1"/>
    <row r="55" s="3" customFormat="1" ht="12.75">
      <c r="I55" s="22"/>
    </row>
    <row r="56" s="3" customFormat="1" ht="31.5" customHeight="1"/>
    <row r="57" s="3" customFormat="1" ht="15.75" customHeight="1"/>
    <row r="58" s="3" customFormat="1" ht="15.75" customHeight="1"/>
    <row r="59" s="3" customFormat="1" ht="15.75" customHeight="1"/>
    <row r="60" s="3" customFormat="1" ht="15.75" customHeight="1"/>
    <row r="61" s="3" customFormat="1" ht="15.75" customHeight="1"/>
    <row r="62" s="3" customFormat="1" ht="15.75" customHeight="1"/>
    <row r="63" s="3" customFormat="1" ht="12.75">
      <c r="I63" s="22"/>
    </row>
    <row r="64" s="3" customFormat="1" ht="31.5" customHeight="1"/>
    <row r="65" s="3" customFormat="1" ht="15.75" customHeight="1"/>
    <row r="66" s="3" customFormat="1" ht="15.75" customHeight="1"/>
    <row r="67" s="3" customFormat="1" ht="15.75" customHeight="1"/>
    <row r="68" s="3" customFormat="1" ht="15.75" customHeight="1"/>
    <row r="69" s="3" customFormat="1" ht="15.75" customHeight="1"/>
    <row r="70" s="3" customFormat="1" ht="15.75" customHeight="1"/>
    <row r="71" s="3" customFormat="1" ht="15.75" customHeight="1"/>
    <row r="72" s="3" customFormat="1" ht="19.5" customHeight="1"/>
    <row r="73" s="3" customFormat="1" ht="12.75"/>
    <row r="74" s="3" customFormat="1" ht="6.75" customHeight="1"/>
    <row r="75" s="3" customFormat="1" ht="13.5" customHeight="1"/>
    <row r="76" s="3" customFormat="1" ht="15.75" customHeight="1"/>
    <row r="77" s="3" customFormat="1" ht="15.75" customHeight="1"/>
    <row r="78" s="3" customFormat="1" ht="15.75" customHeight="1"/>
    <row r="79" s="3" customFormat="1" ht="15.75" customHeight="1"/>
    <row r="80" s="3" customFormat="1" ht="15.75" customHeight="1"/>
    <row r="81" s="3" customFormat="1" ht="15.75" customHeight="1"/>
    <row r="82" s="3" customFormat="1" ht="15.75" customHeight="1"/>
    <row r="83" s="3" customFormat="1" ht="12.75">
      <c r="B83" s="15"/>
    </row>
  </sheetData>
  <sheetProtection/>
  <mergeCells count="21">
    <mergeCell ref="A9:B9"/>
    <mergeCell ref="A22:B22"/>
    <mergeCell ref="A5:B5"/>
    <mergeCell ref="A14:B14"/>
    <mergeCell ref="A3:I3"/>
    <mergeCell ref="A10:I10"/>
    <mergeCell ref="A17:I17"/>
    <mergeCell ref="A15:B15"/>
    <mergeCell ref="A4:B4"/>
    <mergeCell ref="A7:B7"/>
    <mergeCell ref="A8:B8"/>
    <mergeCell ref="A20:B20"/>
    <mergeCell ref="A6:B6"/>
    <mergeCell ref="A13:B13"/>
    <mergeCell ref="A23:B23"/>
    <mergeCell ref="A16:B16"/>
    <mergeCell ref="A18:B18"/>
    <mergeCell ref="A21:B21"/>
    <mergeCell ref="A11:B11"/>
    <mergeCell ref="A12:B12"/>
    <mergeCell ref="A19:B19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31"/>
  <sheetViews>
    <sheetView zoomScalePageLayoutView="0" workbookViewId="0" topLeftCell="A1">
      <selection activeCell="A21" sqref="A21"/>
    </sheetView>
  </sheetViews>
  <sheetFormatPr defaultColWidth="9.140625" defaultRowHeight="12.75"/>
  <cols>
    <col min="3" max="8" width="11.28125" style="0" customWidth="1"/>
  </cols>
  <sheetData>
    <row r="1" spans="1:8" ht="19.5" customHeight="1">
      <c r="A1" s="266" t="s">
        <v>172</v>
      </c>
      <c r="B1" s="266"/>
      <c r="C1" s="266"/>
      <c r="D1" s="266"/>
      <c r="E1" s="266"/>
      <c r="F1" s="266"/>
      <c r="G1" s="266"/>
      <c r="H1" s="266"/>
    </row>
    <row r="2" spans="1:8" ht="6.75" customHeight="1" thickBot="1">
      <c r="A2" s="3"/>
      <c r="B2" s="15"/>
      <c r="C2" s="3"/>
      <c r="D2" s="3"/>
      <c r="E2" s="3"/>
      <c r="F2" s="3"/>
      <c r="G2" s="3"/>
      <c r="H2" s="3"/>
    </row>
    <row r="3" spans="1:8" ht="13.5" customHeight="1" thickBot="1">
      <c r="A3" s="265">
        <v>2007</v>
      </c>
      <c r="B3" s="265"/>
      <c r="C3" s="265"/>
      <c r="D3" s="265"/>
      <c r="E3" s="265"/>
      <c r="F3" s="265"/>
      <c r="G3" s="265"/>
      <c r="H3" s="265"/>
    </row>
    <row r="4" spans="1:8" ht="26.25" thickBot="1">
      <c r="A4" s="267" t="s">
        <v>177</v>
      </c>
      <c r="B4" s="267"/>
      <c r="C4" s="177" t="s">
        <v>25</v>
      </c>
      <c r="D4" s="177" t="s">
        <v>34</v>
      </c>
      <c r="E4" s="177" t="s">
        <v>29</v>
      </c>
      <c r="F4" s="177" t="s">
        <v>28</v>
      </c>
      <c r="G4" s="177" t="s">
        <v>30</v>
      </c>
      <c r="H4" s="177" t="s">
        <v>0</v>
      </c>
    </row>
    <row r="5" spans="1:8" ht="19.5" customHeight="1">
      <c r="A5" s="275" t="s">
        <v>1</v>
      </c>
      <c r="B5" s="276"/>
      <c r="C5" s="41">
        <v>147</v>
      </c>
      <c r="D5" s="41">
        <v>1640</v>
      </c>
      <c r="E5" s="94">
        <v>354</v>
      </c>
      <c r="F5" s="94">
        <v>26</v>
      </c>
      <c r="G5" s="94">
        <v>95</v>
      </c>
      <c r="H5" s="41">
        <v>2262</v>
      </c>
    </row>
    <row r="6" spans="1:8" ht="19.5" customHeight="1">
      <c r="A6" s="270" t="s">
        <v>2</v>
      </c>
      <c r="B6" s="270"/>
      <c r="C6" s="42">
        <v>614</v>
      </c>
      <c r="D6" s="42">
        <v>3969</v>
      </c>
      <c r="E6" s="95">
        <v>842</v>
      </c>
      <c r="F6" s="95">
        <v>116</v>
      </c>
      <c r="G6" s="95">
        <v>315</v>
      </c>
      <c r="H6" s="42">
        <v>5856</v>
      </c>
    </row>
    <row r="7" spans="1:8" ht="19.5" customHeight="1">
      <c r="A7" s="268" t="s">
        <v>3</v>
      </c>
      <c r="B7" s="269"/>
      <c r="C7" s="42">
        <v>204</v>
      </c>
      <c r="D7" s="42">
        <v>1117</v>
      </c>
      <c r="E7" s="95">
        <v>155</v>
      </c>
      <c r="F7" s="95">
        <v>62</v>
      </c>
      <c r="G7" s="95">
        <v>76</v>
      </c>
      <c r="H7" s="42">
        <v>1614</v>
      </c>
    </row>
    <row r="8" spans="1:8" ht="19.5" customHeight="1">
      <c r="A8" s="279" t="s">
        <v>4</v>
      </c>
      <c r="B8" s="279"/>
      <c r="C8" s="42">
        <v>244</v>
      </c>
      <c r="D8" s="42">
        <v>578</v>
      </c>
      <c r="E8" s="95">
        <v>79</v>
      </c>
      <c r="F8" s="95">
        <v>29</v>
      </c>
      <c r="G8" s="95">
        <v>99</v>
      </c>
      <c r="H8" s="42">
        <v>1029</v>
      </c>
    </row>
    <row r="9" spans="1:8" ht="19.5" customHeight="1" thickBot="1">
      <c r="A9" s="277" t="s">
        <v>90</v>
      </c>
      <c r="B9" s="278"/>
      <c r="C9" s="43">
        <v>0</v>
      </c>
      <c r="D9" s="43">
        <v>180</v>
      </c>
      <c r="E9" s="96">
        <v>33</v>
      </c>
      <c r="F9" s="96">
        <v>18</v>
      </c>
      <c r="G9" s="96">
        <v>13</v>
      </c>
      <c r="H9" s="43">
        <v>244</v>
      </c>
    </row>
    <row r="10" spans="1:8" ht="19.5" customHeight="1" thickBot="1">
      <c r="A10" s="271" t="s">
        <v>0</v>
      </c>
      <c r="B10" s="272"/>
      <c r="C10" s="93">
        <v>1209</v>
      </c>
      <c r="D10" s="93">
        <v>7484</v>
      </c>
      <c r="E10" s="93">
        <v>1463</v>
      </c>
      <c r="F10" s="93">
        <v>251</v>
      </c>
      <c r="G10" s="93">
        <v>598</v>
      </c>
      <c r="H10" s="93">
        <v>11005</v>
      </c>
    </row>
    <row r="11" spans="1:8" ht="13.5" customHeight="1" thickBot="1">
      <c r="A11" s="265">
        <v>2008</v>
      </c>
      <c r="B11" s="265"/>
      <c r="C11" s="265"/>
      <c r="D11" s="265"/>
      <c r="E11" s="265"/>
      <c r="F11" s="265"/>
      <c r="G11" s="265"/>
      <c r="H11" s="265"/>
    </row>
    <row r="12" spans="1:8" ht="26.25" thickBot="1">
      <c r="A12" s="267" t="s">
        <v>177</v>
      </c>
      <c r="B12" s="267"/>
      <c r="C12" s="177" t="s">
        <v>25</v>
      </c>
      <c r="D12" s="177" t="s">
        <v>34</v>
      </c>
      <c r="E12" s="177" t="s">
        <v>29</v>
      </c>
      <c r="F12" s="177" t="s">
        <v>28</v>
      </c>
      <c r="G12" s="177" t="s">
        <v>30</v>
      </c>
      <c r="H12" s="177" t="s">
        <v>0</v>
      </c>
    </row>
    <row r="13" spans="1:8" ht="19.5" customHeight="1">
      <c r="A13" s="275" t="s">
        <v>1</v>
      </c>
      <c r="B13" s="276"/>
      <c r="C13" s="41">
        <v>356</v>
      </c>
      <c r="D13" s="41">
        <v>2232</v>
      </c>
      <c r="E13" s="94">
        <v>252</v>
      </c>
      <c r="F13" s="94">
        <v>55</v>
      </c>
      <c r="G13" s="94">
        <v>175</v>
      </c>
      <c r="H13" s="41">
        <v>3070</v>
      </c>
    </row>
    <row r="14" spans="1:8" ht="19.5" customHeight="1">
      <c r="A14" s="270" t="s">
        <v>2</v>
      </c>
      <c r="B14" s="270"/>
      <c r="C14" s="42">
        <v>778</v>
      </c>
      <c r="D14" s="42">
        <v>4748</v>
      </c>
      <c r="E14" s="95">
        <v>920</v>
      </c>
      <c r="F14" s="95">
        <v>143</v>
      </c>
      <c r="G14" s="95">
        <v>215</v>
      </c>
      <c r="H14" s="42">
        <v>6804</v>
      </c>
    </row>
    <row r="15" spans="1:8" ht="19.5" customHeight="1">
      <c r="A15" s="268" t="s">
        <v>3</v>
      </c>
      <c r="B15" s="269"/>
      <c r="C15" s="42">
        <v>204</v>
      </c>
      <c r="D15" s="42">
        <v>1518</v>
      </c>
      <c r="E15" s="95">
        <v>128</v>
      </c>
      <c r="F15" s="95">
        <v>41</v>
      </c>
      <c r="G15" s="95">
        <v>107</v>
      </c>
      <c r="H15" s="42">
        <v>1998</v>
      </c>
    </row>
    <row r="16" spans="1:8" ht="19.5" customHeight="1">
      <c r="A16" s="279" t="s">
        <v>4</v>
      </c>
      <c r="B16" s="279"/>
      <c r="C16" s="42">
        <v>250</v>
      </c>
      <c r="D16" s="42">
        <v>396</v>
      </c>
      <c r="E16" s="95">
        <v>62</v>
      </c>
      <c r="F16" s="95">
        <v>17</v>
      </c>
      <c r="G16" s="95">
        <v>7</v>
      </c>
      <c r="H16" s="42">
        <v>732</v>
      </c>
    </row>
    <row r="17" spans="1:8" ht="19.5" customHeight="1" thickBot="1">
      <c r="A17" s="277" t="s">
        <v>90</v>
      </c>
      <c r="B17" s="278"/>
      <c r="C17" s="103">
        <v>0</v>
      </c>
      <c r="D17" s="103">
        <v>212</v>
      </c>
      <c r="E17" s="131">
        <v>60</v>
      </c>
      <c r="F17" s="131">
        <v>19</v>
      </c>
      <c r="G17" s="131">
        <v>35</v>
      </c>
      <c r="H17" s="103">
        <v>326</v>
      </c>
    </row>
    <row r="18" spans="1:8" ht="19.5" customHeight="1" thickBot="1">
      <c r="A18" s="271" t="s">
        <v>0</v>
      </c>
      <c r="B18" s="272"/>
      <c r="C18" s="34">
        <v>1588</v>
      </c>
      <c r="D18" s="34">
        <v>9106</v>
      </c>
      <c r="E18" s="34">
        <v>1422</v>
      </c>
      <c r="F18" s="34">
        <v>275</v>
      </c>
      <c r="G18" s="34">
        <v>539</v>
      </c>
      <c r="H18" s="34">
        <v>12930</v>
      </c>
    </row>
    <row r="19" spans="1:8" ht="13.5" customHeight="1">
      <c r="A19" s="107" t="s">
        <v>93</v>
      </c>
      <c r="B19" s="15"/>
      <c r="C19" s="3"/>
      <c r="D19" s="3"/>
      <c r="E19" s="3"/>
      <c r="F19" s="3"/>
      <c r="G19" s="3"/>
      <c r="H19" s="3"/>
    </row>
    <row r="20" ht="12.75">
      <c r="H20" s="3"/>
    </row>
    <row r="21" spans="1:8" ht="18.75">
      <c r="A21" s="176" t="s">
        <v>184</v>
      </c>
      <c r="B21" s="176"/>
      <c r="C21" s="176"/>
      <c r="D21" s="176"/>
      <c r="E21" s="176"/>
      <c r="F21" s="176"/>
      <c r="H21" s="3"/>
    </row>
    <row r="22" spans="1:8" ht="6.75" customHeight="1" thickBot="1">
      <c r="A22" s="3"/>
      <c r="B22" s="3"/>
      <c r="C22" s="3"/>
      <c r="D22" s="3"/>
      <c r="E22" s="3"/>
      <c r="F22" s="3"/>
      <c r="H22" s="3"/>
    </row>
    <row r="23" spans="1:8" ht="13.5" customHeight="1" thickBot="1">
      <c r="A23" s="267" t="s">
        <v>91</v>
      </c>
      <c r="B23" s="267"/>
      <c r="C23" s="267"/>
      <c r="D23" s="177">
        <v>2005</v>
      </c>
      <c r="E23" s="177">
        <v>2006</v>
      </c>
      <c r="F23" s="177">
        <v>2007</v>
      </c>
      <c r="G23" s="177">
        <v>2008</v>
      </c>
      <c r="H23" s="177">
        <v>2009</v>
      </c>
    </row>
    <row r="24" spans="1:8" ht="19.5" customHeight="1">
      <c r="A24" s="281" t="s">
        <v>25</v>
      </c>
      <c r="B24" s="281"/>
      <c r="C24" s="281"/>
      <c r="D24" s="141">
        <v>105</v>
      </c>
      <c r="E24" s="141">
        <v>169</v>
      </c>
      <c r="F24" s="141">
        <v>203</v>
      </c>
      <c r="G24" s="141">
        <v>178</v>
      </c>
      <c r="H24" s="141">
        <v>193</v>
      </c>
    </row>
    <row r="25" spans="1:8" ht="19.5" customHeight="1">
      <c r="A25" s="282" t="s">
        <v>34</v>
      </c>
      <c r="B25" s="282"/>
      <c r="C25" s="282"/>
      <c r="D25" s="139">
        <v>1786</v>
      </c>
      <c r="E25" s="139">
        <v>1754</v>
      </c>
      <c r="F25" s="139">
        <v>1699</v>
      </c>
      <c r="G25" s="139">
        <v>2055</v>
      </c>
      <c r="H25" s="139">
        <v>2873</v>
      </c>
    </row>
    <row r="26" spans="1:8" ht="19.5" customHeight="1">
      <c r="A26" s="282" t="s">
        <v>29</v>
      </c>
      <c r="B26" s="282"/>
      <c r="C26" s="282"/>
      <c r="D26" s="139">
        <v>629</v>
      </c>
      <c r="E26" s="139">
        <v>279</v>
      </c>
      <c r="F26" s="139">
        <v>377</v>
      </c>
      <c r="G26" s="139">
        <v>568</v>
      </c>
      <c r="H26" s="139">
        <v>865</v>
      </c>
    </row>
    <row r="27" spans="1:8" ht="19.5" customHeight="1">
      <c r="A27" s="282" t="s">
        <v>30</v>
      </c>
      <c r="B27" s="282"/>
      <c r="C27" s="282"/>
      <c r="D27" s="139">
        <v>392</v>
      </c>
      <c r="E27" s="139">
        <v>479</v>
      </c>
      <c r="F27" s="139">
        <v>301</v>
      </c>
      <c r="G27" s="139">
        <v>392</v>
      </c>
      <c r="H27" s="139">
        <v>688</v>
      </c>
    </row>
    <row r="28" spans="1:8" ht="19.5" customHeight="1">
      <c r="A28" s="282" t="s">
        <v>28</v>
      </c>
      <c r="B28" s="282"/>
      <c r="C28" s="282"/>
      <c r="D28" s="139">
        <v>445</v>
      </c>
      <c r="E28" s="139">
        <v>331</v>
      </c>
      <c r="F28" s="139">
        <v>309</v>
      </c>
      <c r="G28" s="139">
        <v>434</v>
      </c>
      <c r="H28" s="139">
        <v>700</v>
      </c>
    </row>
    <row r="29" spans="1:8" ht="19.5" customHeight="1" thickBot="1">
      <c r="A29" s="280" t="s">
        <v>40</v>
      </c>
      <c r="B29" s="280"/>
      <c r="C29" s="280"/>
      <c r="D29" s="140">
        <v>48</v>
      </c>
      <c r="E29" s="140">
        <v>55</v>
      </c>
      <c r="F29" s="140">
        <v>50</v>
      </c>
      <c r="G29" s="140">
        <v>63</v>
      </c>
      <c r="H29" s="140">
        <v>57</v>
      </c>
    </row>
    <row r="30" spans="1:8" ht="19.5" customHeight="1" thickBot="1">
      <c r="A30" s="271" t="s">
        <v>0</v>
      </c>
      <c r="B30" s="271"/>
      <c r="C30" s="271"/>
      <c r="D30" s="102">
        <v>3405</v>
      </c>
      <c r="E30" s="102">
        <v>3067</v>
      </c>
      <c r="F30" s="102">
        <v>2939</v>
      </c>
      <c r="G30" s="102">
        <v>3690</v>
      </c>
      <c r="H30" s="102">
        <v>5376</v>
      </c>
    </row>
    <row r="31" ht="12.75">
      <c r="A31" s="107" t="s">
        <v>93</v>
      </c>
    </row>
  </sheetData>
  <sheetProtection/>
  <mergeCells count="25">
    <mergeCell ref="A29:C29"/>
    <mergeCell ref="A30:C30"/>
    <mergeCell ref="A23:C23"/>
    <mergeCell ref="A24:C24"/>
    <mergeCell ref="A25:C25"/>
    <mergeCell ref="A26:C26"/>
    <mergeCell ref="A27:C27"/>
    <mergeCell ref="A28:C28"/>
    <mergeCell ref="A3:H3"/>
    <mergeCell ref="A11:H11"/>
    <mergeCell ref="A1:H1"/>
    <mergeCell ref="A8:B8"/>
    <mergeCell ref="A9:B9"/>
    <mergeCell ref="A7:B7"/>
    <mergeCell ref="A10:B10"/>
    <mergeCell ref="A4:B4"/>
    <mergeCell ref="A5:B5"/>
    <mergeCell ref="A6:B6"/>
    <mergeCell ref="A16:B16"/>
    <mergeCell ref="A12:B12"/>
    <mergeCell ref="A17:B17"/>
    <mergeCell ref="A18:B18"/>
    <mergeCell ref="A13:B13"/>
    <mergeCell ref="A14:B14"/>
    <mergeCell ref="A15:B15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1.28125" style="1" customWidth="1"/>
    <col min="3" max="10" width="9.28125" style="1" customWidth="1"/>
    <col min="11" max="16384" width="9.140625" style="1" customWidth="1"/>
  </cols>
  <sheetData>
    <row r="1" spans="1:10" s="3" customFormat="1" ht="19.5" customHeight="1">
      <c r="A1" s="176" t="s">
        <v>185</v>
      </c>
      <c r="B1" s="176"/>
      <c r="C1" s="176"/>
      <c r="D1" s="176"/>
      <c r="E1" s="176"/>
      <c r="F1" s="176"/>
      <c r="G1" s="176"/>
      <c r="H1" s="176"/>
      <c r="I1" s="176"/>
      <c r="J1" s="176"/>
    </row>
    <row r="2" s="3" customFormat="1" ht="6.75" customHeight="1" thickBot="1">
      <c r="B2" s="15"/>
    </row>
    <row r="3" spans="1:10" s="3" customFormat="1" ht="13.5" customHeight="1" thickBot="1">
      <c r="A3" s="5"/>
      <c r="B3" s="15"/>
      <c r="C3" s="15"/>
      <c r="D3" s="105">
        <v>2006</v>
      </c>
      <c r="E3" s="265">
        <v>2007</v>
      </c>
      <c r="F3" s="265"/>
      <c r="G3" s="265">
        <v>2008</v>
      </c>
      <c r="H3" s="265"/>
      <c r="I3" s="265">
        <v>2009</v>
      </c>
      <c r="J3" s="265"/>
    </row>
    <row r="4" spans="1:10" s="3" customFormat="1" ht="26.25" thickBot="1">
      <c r="A4" s="267" t="s">
        <v>92</v>
      </c>
      <c r="B4" s="267"/>
      <c r="C4" s="177" t="s">
        <v>178</v>
      </c>
      <c r="D4" s="177" t="s">
        <v>181</v>
      </c>
      <c r="E4" s="177" t="s">
        <v>178</v>
      </c>
      <c r="F4" s="177" t="s">
        <v>181</v>
      </c>
      <c r="G4" s="177" t="s">
        <v>178</v>
      </c>
      <c r="H4" s="177" t="s">
        <v>181</v>
      </c>
      <c r="I4" s="177" t="s">
        <v>178</v>
      </c>
      <c r="J4" s="177" t="s">
        <v>181</v>
      </c>
    </row>
    <row r="5" spans="1:10" s="3" customFormat="1" ht="19.5" customHeight="1">
      <c r="A5" s="275" t="s">
        <v>94</v>
      </c>
      <c r="B5" s="276"/>
      <c r="C5" s="41">
        <f aca="true" t="shared" si="0" ref="C5:C10">C$11*D5/D$11</f>
        <v>4540173.839999999</v>
      </c>
      <c r="D5" s="133">
        <v>72</v>
      </c>
      <c r="E5" s="41">
        <v>5188786</v>
      </c>
      <c r="F5" s="133">
        <f aca="true" t="shared" si="1" ref="F5:F10">E5*100/E$11</f>
        <v>80.8145206118234</v>
      </c>
      <c r="G5" s="41">
        <v>10264093</v>
      </c>
      <c r="H5" s="133">
        <f aca="true" t="shared" si="2" ref="H5:H10">G5*100/G$11</f>
        <v>82.61187836010147</v>
      </c>
      <c r="I5" s="41">
        <v>6440894</v>
      </c>
      <c r="J5" s="133">
        <f aca="true" t="shared" si="3" ref="J5:J10">I5*100/I$11</f>
        <v>83.96793547985904</v>
      </c>
    </row>
    <row r="6" spans="1:10" s="3" customFormat="1" ht="19.5" customHeight="1">
      <c r="A6" s="270" t="s">
        <v>95</v>
      </c>
      <c r="B6" s="270"/>
      <c r="C6" s="42">
        <f t="shared" si="0"/>
        <v>630579.7</v>
      </c>
      <c r="D6" s="134">
        <v>10</v>
      </c>
      <c r="E6" s="42">
        <v>501509</v>
      </c>
      <c r="F6" s="134">
        <f t="shared" si="1"/>
        <v>7.810923290633866</v>
      </c>
      <c r="G6" s="42">
        <v>1065750</v>
      </c>
      <c r="H6" s="134">
        <f t="shared" si="2"/>
        <v>8.577826541739064</v>
      </c>
      <c r="I6" s="42">
        <v>338151</v>
      </c>
      <c r="J6" s="134">
        <f t="shared" si="3"/>
        <v>4.408369606835605</v>
      </c>
    </row>
    <row r="7" spans="1:10" s="3" customFormat="1" ht="31.5" customHeight="1">
      <c r="A7" s="270" t="s">
        <v>96</v>
      </c>
      <c r="B7" s="270"/>
      <c r="C7" s="42">
        <f t="shared" si="0"/>
        <v>201785.504</v>
      </c>
      <c r="D7" s="134">
        <v>3.2</v>
      </c>
      <c r="E7" s="42">
        <v>144457</v>
      </c>
      <c r="F7" s="134">
        <f t="shared" si="1"/>
        <v>2.2498949087555684</v>
      </c>
      <c r="G7" s="42">
        <v>295848</v>
      </c>
      <c r="H7" s="134">
        <f t="shared" si="2"/>
        <v>2.3811708437442354</v>
      </c>
      <c r="I7" s="42">
        <v>122010</v>
      </c>
      <c r="J7" s="134">
        <f t="shared" si="3"/>
        <v>1.590606491567413</v>
      </c>
    </row>
    <row r="8" spans="1:10" s="3" customFormat="1" ht="48" customHeight="1">
      <c r="A8" s="270" t="s">
        <v>97</v>
      </c>
      <c r="B8" s="270"/>
      <c r="C8" s="42">
        <f t="shared" si="0"/>
        <v>454017.3839999999</v>
      </c>
      <c r="D8" s="134">
        <v>7.2</v>
      </c>
      <c r="E8" s="42">
        <v>373134</v>
      </c>
      <c r="F8" s="134">
        <f t="shared" si="1"/>
        <v>5.811502986242275</v>
      </c>
      <c r="G8" s="42">
        <v>502161</v>
      </c>
      <c r="H8" s="134">
        <f t="shared" si="2"/>
        <v>4.041707674432306</v>
      </c>
      <c r="I8" s="42">
        <v>273093</v>
      </c>
      <c r="J8" s="134">
        <f t="shared" si="3"/>
        <v>3.5602286583199696</v>
      </c>
    </row>
    <row r="9" spans="1:10" s="3" customFormat="1" ht="41.25" customHeight="1">
      <c r="A9" s="270" t="s">
        <v>179</v>
      </c>
      <c r="B9" s="270"/>
      <c r="C9" s="42">
        <f t="shared" si="0"/>
        <v>245926.08299999998</v>
      </c>
      <c r="D9" s="134">
        <v>3.9</v>
      </c>
      <c r="E9" s="42">
        <v>131688</v>
      </c>
      <c r="F9" s="134">
        <f t="shared" si="1"/>
        <v>2.0510197549734754</v>
      </c>
      <c r="G9" s="42">
        <v>251534</v>
      </c>
      <c r="H9" s="134">
        <f t="shared" si="2"/>
        <v>2.02450389054637</v>
      </c>
      <c r="I9" s="42">
        <v>283662</v>
      </c>
      <c r="J9" s="134">
        <f t="shared" si="3"/>
        <v>3.698013430136837</v>
      </c>
    </row>
    <row r="10" spans="1:10" s="3" customFormat="1" ht="19.5" customHeight="1" thickBot="1">
      <c r="A10" s="277" t="s">
        <v>98</v>
      </c>
      <c r="B10" s="278"/>
      <c r="C10" s="43">
        <f t="shared" si="0"/>
        <v>233314.489</v>
      </c>
      <c r="D10" s="135">
        <v>3.7</v>
      </c>
      <c r="E10" s="43">
        <v>81037</v>
      </c>
      <c r="F10" s="135">
        <f t="shared" si="1"/>
        <v>1.2621384475714228</v>
      </c>
      <c r="G10" s="43">
        <v>45090</v>
      </c>
      <c r="H10" s="135">
        <f t="shared" si="2"/>
        <v>0.3629126894365605</v>
      </c>
      <c r="I10" s="43">
        <v>212849</v>
      </c>
      <c r="J10" s="135">
        <f t="shared" si="3"/>
        <v>2.7748463332811433</v>
      </c>
    </row>
    <row r="11" spans="1:10" s="3" customFormat="1" ht="19.5" customHeight="1" thickBot="1">
      <c r="A11" s="283" t="s">
        <v>0</v>
      </c>
      <c r="B11" s="284"/>
      <c r="C11" s="34">
        <v>6305797</v>
      </c>
      <c r="D11" s="136">
        <f aca="true" t="shared" si="4" ref="D11:J11">SUM(D5:D10)</f>
        <v>100.00000000000001</v>
      </c>
      <c r="E11" s="34">
        <f t="shared" si="4"/>
        <v>6420611</v>
      </c>
      <c r="F11" s="136">
        <f t="shared" si="4"/>
        <v>100</v>
      </c>
      <c r="G11" s="34">
        <f t="shared" si="4"/>
        <v>12424476</v>
      </c>
      <c r="H11" s="136">
        <f t="shared" si="4"/>
        <v>100</v>
      </c>
      <c r="I11" s="34">
        <f t="shared" si="4"/>
        <v>7670659</v>
      </c>
      <c r="J11" s="136">
        <f t="shared" si="4"/>
        <v>100.00000000000001</v>
      </c>
    </row>
    <row r="12" spans="1:2" s="3" customFormat="1" ht="12.75">
      <c r="A12" s="107" t="s">
        <v>93</v>
      </c>
      <c r="B12" s="15"/>
    </row>
    <row r="13" s="3" customFormat="1" ht="12.75">
      <c r="B13" s="15"/>
    </row>
  </sheetData>
  <sheetProtection/>
  <mergeCells count="11">
    <mergeCell ref="I3:J3"/>
    <mergeCell ref="G3:H3"/>
    <mergeCell ref="E3:F3"/>
    <mergeCell ref="A4:B4"/>
    <mergeCell ref="A5:B5"/>
    <mergeCell ref="A6:B6"/>
    <mergeCell ref="A10:B10"/>
    <mergeCell ref="A11:B11"/>
    <mergeCell ref="A7:B7"/>
    <mergeCell ref="A8:B8"/>
    <mergeCell ref="A9:B9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00390625" style="1" customWidth="1"/>
    <col min="2" max="2" width="11.28125" style="1" customWidth="1"/>
    <col min="3" max="3" width="7.8515625" style="1" bestFit="1" customWidth="1"/>
    <col min="4" max="4" width="13.28125" style="1" bestFit="1" customWidth="1"/>
    <col min="5" max="5" width="6.8515625" style="1" bestFit="1" customWidth="1"/>
    <col min="6" max="6" width="12.57421875" style="1" bestFit="1" customWidth="1"/>
    <col min="7" max="7" width="8.7109375" style="1" bestFit="1" customWidth="1"/>
    <col min="8" max="8" width="12.57421875" style="1" bestFit="1" customWidth="1"/>
    <col min="9" max="9" width="8.8515625" style="1" customWidth="1"/>
    <col min="10" max="10" width="9.7109375" style="1" customWidth="1"/>
    <col min="11" max="11" width="8.7109375" style="1" customWidth="1"/>
    <col min="12" max="12" width="9.7109375" style="1" customWidth="1"/>
    <col min="13" max="13" width="8.7109375" style="1" customWidth="1"/>
    <col min="14" max="14" width="9.7109375" style="1" customWidth="1"/>
    <col min="15" max="15" width="8.7109375" style="1" customWidth="1"/>
    <col min="16" max="16" width="9.7109375" style="1" customWidth="1"/>
    <col min="17" max="16384" width="9.140625" style="1" customWidth="1"/>
  </cols>
  <sheetData>
    <row r="1" spans="1:16" s="3" customFormat="1" ht="19.5" customHeight="1">
      <c r="A1" s="176" t="s">
        <v>186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6" s="3" customFormat="1" ht="6.75" customHeight="1" thickBo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</row>
    <row r="3" spans="1:8" s="3" customFormat="1" ht="13.5" customHeight="1" thickBot="1">
      <c r="A3" s="242">
        <v>2006</v>
      </c>
      <c r="B3" s="242"/>
      <c r="C3" s="242"/>
      <c r="D3" s="242"/>
      <c r="E3" s="242"/>
      <c r="F3" s="242"/>
      <c r="G3" s="242"/>
      <c r="H3" s="242"/>
    </row>
    <row r="4" spans="1:8" s="3" customFormat="1" ht="13.5" customHeight="1" thickBot="1">
      <c r="A4" s="289" t="s">
        <v>46</v>
      </c>
      <c r="B4" s="289"/>
      <c r="C4" s="200" t="s">
        <v>25</v>
      </c>
      <c r="D4" s="201" t="s">
        <v>34</v>
      </c>
      <c r="E4" s="201" t="s">
        <v>28</v>
      </c>
      <c r="F4" s="201" t="s">
        <v>29</v>
      </c>
      <c r="G4" s="201" t="s">
        <v>30</v>
      </c>
      <c r="H4" s="200" t="s">
        <v>0</v>
      </c>
    </row>
    <row r="5" spans="1:8" s="3" customFormat="1" ht="19.5" customHeight="1">
      <c r="A5" s="285" t="s">
        <v>94</v>
      </c>
      <c r="B5" s="203" t="s">
        <v>178</v>
      </c>
      <c r="C5" s="155">
        <v>937875</v>
      </c>
      <c r="D5" s="155">
        <v>2698875</v>
      </c>
      <c r="E5" s="155">
        <v>231448</v>
      </c>
      <c r="F5" s="155">
        <v>449932</v>
      </c>
      <c r="G5" s="155">
        <v>222599</v>
      </c>
      <c r="H5" s="155">
        <v>4540729</v>
      </c>
    </row>
    <row r="6" spans="1:8" s="3" customFormat="1" ht="19.5" customHeight="1" thickBot="1">
      <c r="A6" s="286"/>
      <c r="B6" s="205" t="s">
        <v>85</v>
      </c>
      <c r="C6" s="202">
        <v>20.654723063190954</v>
      </c>
      <c r="D6" s="202">
        <v>59.43704193753911</v>
      </c>
      <c r="E6" s="202">
        <v>5.097155104389626</v>
      </c>
      <c r="F6" s="202">
        <v>9.908805392261904</v>
      </c>
      <c r="G6" s="202">
        <v>4.902274502618412</v>
      </c>
      <c r="H6" s="202">
        <v>100</v>
      </c>
    </row>
    <row r="7" spans="1:8" s="3" customFormat="1" ht="19.5" customHeight="1">
      <c r="A7" s="285" t="s">
        <v>99</v>
      </c>
      <c r="B7" s="203" t="s">
        <v>178</v>
      </c>
      <c r="C7" s="155">
        <v>73892</v>
      </c>
      <c r="D7" s="155">
        <v>333599</v>
      </c>
      <c r="E7" s="155">
        <v>40185</v>
      </c>
      <c r="F7" s="155">
        <v>118219</v>
      </c>
      <c r="G7" s="155">
        <v>67821</v>
      </c>
      <c r="H7" s="155">
        <v>633716</v>
      </c>
    </row>
    <row r="8" spans="1:8" s="3" customFormat="1" ht="19.5" customHeight="1" thickBot="1">
      <c r="A8" s="286"/>
      <c r="B8" s="205" t="s">
        <v>85</v>
      </c>
      <c r="C8" s="202">
        <v>11.660112731886208</v>
      </c>
      <c r="D8" s="202">
        <v>52.64171963466285</v>
      </c>
      <c r="E8" s="202">
        <v>6.341168599183231</v>
      </c>
      <c r="F8" s="202">
        <v>18.654886415997073</v>
      </c>
      <c r="G8" s="202">
        <v>10.702112618270645</v>
      </c>
      <c r="H8" s="202">
        <v>100.00000000000001</v>
      </c>
    </row>
    <row r="9" spans="1:8" s="3" customFormat="1" ht="19.5" customHeight="1">
      <c r="A9" s="285" t="s">
        <v>96</v>
      </c>
      <c r="B9" s="203" t="s">
        <v>178</v>
      </c>
      <c r="C9" s="155">
        <v>27420</v>
      </c>
      <c r="D9" s="155">
        <v>164602</v>
      </c>
      <c r="E9" s="155">
        <v>6344</v>
      </c>
      <c r="F9" s="155">
        <v>3095</v>
      </c>
      <c r="G9" s="155">
        <v>364</v>
      </c>
      <c r="H9" s="155">
        <v>201825</v>
      </c>
    </row>
    <row r="10" spans="1:8" s="3" customFormat="1" ht="19.5" customHeight="1" thickBot="1">
      <c r="A10" s="286"/>
      <c r="B10" s="205" t="s">
        <v>85</v>
      </c>
      <c r="C10" s="202">
        <v>13.586027499070978</v>
      </c>
      <c r="D10" s="202">
        <v>81.55679425244642</v>
      </c>
      <c r="E10" s="202">
        <v>3.143317230273752</v>
      </c>
      <c r="F10" s="202">
        <v>1.5335067508980553</v>
      </c>
      <c r="G10" s="202">
        <v>0.18035426731078905</v>
      </c>
      <c r="H10" s="202">
        <v>100</v>
      </c>
    </row>
    <row r="11" spans="1:8" s="3" customFormat="1" ht="24.75" customHeight="1">
      <c r="A11" s="285" t="s">
        <v>97</v>
      </c>
      <c r="B11" s="203" t="s">
        <v>178</v>
      </c>
      <c r="C11" s="155">
        <v>186301</v>
      </c>
      <c r="D11" s="155">
        <v>207496</v>
      </c>
      <c r="E11" s="155">
        <v>27420</v>
      </c>
      <c r="F11" s="155">
        <v>20999</v>
      </c>
      <c r="G11" s="155">
        <v>9328</v>
      </c>
      <c r="H11" s="155">
        <v>451544</v>
      </c>
    </row>
    <row r="12" spans="1:8" s="3" customFormat="1" ht="24.75" customHeight="1" thickBot="1">
      <c r="A12" s="286"/>
      <c r="B12" s="205" t="s">
        <v>85</v>
      </c>
      <c r="C12" s="202">
        <v>41.25865917828606</v>
      </c>
      <c r="D12" s="202">
        <v>45.95255390393849</v>
      </c>
      <c r="E12" s="202">
        <v>6.072497918253814</v>
      </c>
      <c r="F12" s="202">
        <v>4.650488103042007</v>
      </c>
      <c r="G12" s="202">
        <v>2.0658008964796344</v>
      </c>
      <c r="H12" s="202">
        <v>100</v>
      </c>
    </row>
    <row r="13" spans="1:8" s="3" customFormat="1" ht="27" customHeight="1">
      <c r="A13" s="285" t="s">
        <v>179</v>
      </c>
      <c r="B13" s="203" t="s">
        <v>178</v>
      </c>
      <c r="C13" s="155">
        <v>256</v>
      </c>
      <c r="D13" s="155">
        <v>116357</v>
      </c>
      <c r="E13" s="155">
        <v>85937</v>
      </c>
      <c r="F13" s="155">
        <v>24426</v>
      </c>
      <c r="G13" s="155">
        <v>20330</v>
      </c>
      <c r="H13" s="155">
        <v>247306</v>
      </c>
    </row>
    <row r="14" spans="1:8" s="3" customFormat="1" ht="27" customHeight="1" thickBot="1">
      <c r="A14" s="286"/>
      <c r="B14" s="205" t="s">
        <v>85</v>
      </c>
      <c r="C14" s="202">
        <v>0.10351548284311743</v>
      </c>
      <c r="D14" s="202">
        <v>47.04980873897115</v>
      </c>
      <c r="E14" s="202">
        <v>34.74925800425384</v>
      </c>
      <c r="F14" s="202">
        <v>9.876832749710884</v>
      </c>
      <c r="G14" s="202">
        <v>8.220585024221005</v>
      </c>
      <c r="H14" s="202">
        <v>100</v>
      </c>
    </row>
    <row r="15" spans="1:8" s="3" customFormat="1" ht="19.5" customHeight="1">
      <c r="A15" s="285" t="s">
        <v>98</v>
      </c>
      <c r="B15" s="203" t="s">
        <v>178</v>
      </c>
      <c r="C15" s="155">
        <v>10776</v>
      </c>
      <c r="D15" s="155">
        <v>185133</v>
      </c>
      <c r="E15" s="155">
        <v>18254</v>
      </c>
      <c r="F15" s="155">
        <v>12054</v>
      </c>
      <c r="G15" s="155">
        <v>4454</v>
      </c>
      <c r="H15" s="155">
        <v>230671</v>
      </c>
    </row>
    <row r="16" spans="1:8" s="3" customFormat="1" ht="19.5" customHeight="1" thickBot="1">
      <c r="A16" s="286"/>
      <c r="B16" s="205" t="s">
        <v>85</v>
      </c>
      <c r="C16" s="202">
        <v>4.6715885395216565</v>
      </c>
      <c r="D16" s="202">
        <v>80.25846335256708</v>
      </c>
      <c r="E16" s="202">
        <v>7.913435152229799</v>
      </c>
      <c r="F16" s="202">
        <v>5.225624374108579</v>
      </c>
      <c r="G16" s="202">
        <v>1.9308885815728896</v>
      </c>
      <c r="H16" s="202">
        <v>99.99999999999999</v>
      </c>
    </row>
    <row r="17" spans="1:8" s="3" customFormat="1" ht="30" customHeight="1">
      <c r="A17" s="287" t="s">
        <v>0</v>
      </c>
      <c r="B17" s="206" t="s">
        <v>178</v>
      </c>
      <c r="C17" s="156">
        <v>1236520</v>
      </c>
      <c r="D17" s="156">
        <v>3706062</v>
      </c>
      <c r="E17" s="156">
        <v>409588</v>
      </c>
      <c r="F17" s="156">
        <v>628725</v>
      </c>
      <c r="G17" s="156">
        <v>324896</v>
      </c>
      <c r="H17" s="156">
        <v>6305791</v>
      </c>
    </row>
    <row r="18" spans="1:8" s="3" customFormat="1" ht="30" customHeight="1" thickBot="1">
      <c r="A18" s="288"/>
      <c r="B18" s="207" t="s">
        <v>85</v>
      </c>
      <c r="C18" s="208">
        <v>19.609276615733062</v>
      </c>
      <c r="D18" s="208">
        <v>58.7723570286424</v>
      </c>
      <c r="E18" s="208">
        <v>6.495426188403644</v>
      </c>
      <c r="F18" s="208">
        <v>9.970596868814713</v>
      </c>
      <c r="G18" s="208">
        <v>5.152343298406179</v>
      </c>
      <c r="H18" s="208">
        <v>100</v>
      </c>
    </row>
    <row r="19" spans="1:8" s="3" customFormat="1" ht="13.5" customHeight="1" thickBot="1">
      <c r="A19" s="242">
        <v>2007</v>
      </c>
      <c r="B19" s="242"/>
      <c r="C19" s="242"/>
      <c r="D19" s="242"/>
      <c r="E19" s="242"/>
      <c r="F19" s="242"/>
      <c r="G19" s="242"/>
      <c r="H19" s="242"/>
    </row>
    <row r="20" spans="1:8" s="3" customFormat="1" ht="13.5" customHeight="1" thickBot="1">
      <c r="A20" s="289" t="s">
        <v>46</v>
      </c>
      <c r="B20" s="289"/>
      <c r="C20" s="200" t="s">
        <v>25</v>
      </c>
      <c r="D20" s="201" t="s">
        <v>34</v>
      </c>
      <c r="E20" s="201" t="s">
        <v>28</v>
      </c>
      <c r="F20" s="201" t="s">
        <v>29</v>
      </c>
      <c r="G20" s="201" t="s">
        <v>30</v>
      </c>
      <c r="H20" s="200" t="s">
        <v>0</v>
      </c>
    </row>
    <row r="21" spans="1:8" s="3" customFormat="1" ht="19.5" customHeight="1">
      <c r="A21" s="285" t="s">
        <v>94</v>
      </c>
      <c r="B21" s="203" t="s">
        <v>178</v>
      </c>
      <c r="C21" s="41">
        <v>939489</v>
      </c>
      <c r="D21" s="41">
        <v>3028459</v>
      </c>
      <c r="E21" s="41">
        <v>284263</v>
      </c>
      <c r="F21" s="41">
        <v>648352</v>
      </c>
      <c r="G21" s="41">
        <v>288223</v>
      </c>
      <c r="H21" s="44">
        <v>5188786</v>
      </c>
    </row>
    <row r="22" spans="1:8" s="3" customFormat="1" ht="19.5" customHeight="1" thickBot="1">
      <c r="A22" s="286"/>
      <c r="B22" s="204" t="s">
        <v>85</v>
      </c>
      <c r="C22" s="135">
        <v>18.106142747070315</v>
      </c>
      <c r="D22" s="135">
        <v>58.36546352075418</v>
      </c>
      <c r="E22" s="135">
        <v>5.478410556920251</v>
      </c>
      <c r="F22" s="135">
        <v>12.495254188552003</v>
      </c>
      <c r="G22" s="135">
        <v>5.554728986703248</v>
      </c>
      <c r="H22" s="138">
        <v>100</v>
      </c>
    </row>
    <row r="23" spans="1:8" s="3" customFormat="1" ht="19.5" customHeight="1">
      <c r="A23" s="285" t="s">
        <v>99</v>
      </c>
      <c r="B23" s="203" t="s">
        <v>178</v>
      </c>
      <c r="C23" s="41">
        <v>205515</v>
      </c>
      <c r="D23" s="41">
        <v>189817</v>
      </c>
      <c r="E23" s="41">
        <v>49890</v>
      </c>
      <c r="F23" s="41">
        <v>37042</v>
      </c>
      <c r="G23" s="41">
        <v>19245</v>
      </c>
      <c r="H23" s="44">
        <v>501509</v>
      </c>
    </row>
    <row r="24" spans="1:8" s="3" customFormat="1" ht="19.5" customHeight="1" thickBot="1">
      <c r="A24" s="286"/>
      <c r="B24" s="204" t="s">
        <v>85</v>
      </c>
      <c r="C24" s="135">
        <v>40.979324398963925</v>
      </c>
      <c r="D24" s="135">
        <v>37.849171201314434</v>
      </c>
      <c r="E24" s="135">
        <v>9.94797700539771</v>
      </c>
      <c r="F24" s="135">
        <v>7.386108723871356</v>
      </c>
      <c r="G24" s="135">
        <v>3.8374186704525743</v>
      </c>
      <c r="H24" s="138">
        <v>100.00000000000001</v>
      </c>
    </row>
    <row r="25" spans="1:8" s="3" customFormat="1" ht="19.5" customHeight="1">
      <c r="A25" s="285" t="s">
        <v>96</v>
      </c>
      <c r="B25" s="203" t="s">
        <v>178</v>
      </c>
      <c r="C25" s="41">
        <v>29001</v>
      </c>
      <c r="D25" s="41">
        <v>110856</v>
      </c>
      <c r="E25" s="41">
        <v>4220</v>
      </c>
      <c r="F25" s="41">
        <v>0</v>
      </c>
      <c r="G25" s="41">
        <v>380</v>
      </c>
      <c r="H25" s="44">
        <v>144457</v>
      </c>
    </row>
    <row r="26" spans="1:8" s="3" customFormat="1" ht="19.5" customHeight="1" thickBot="1">
      <c r="A26" s="286"/>
      <c r="B26" s="204" t="s">
        <v>85</v>
      </c>
      <c r="C26" s="135">
        <v>20.07587032819455</v>
      </c>
      <c r="D26" s="135">
        <v>76.73979107969846</v>
      </c>
      <c r="E26" s="135">
        <v>2.921284534498155</v>
      </c>
      <c r="F26" s="135">
        <v>0</v>
      </c>
      <c r="G26" s="135">
        <v>0.2630540576088386</v>
      </c>
      <c r="H26" s="138">
        <v>100.00000000000001</v>
      </c>
    </row>
    <row r="27" spans="1:8" s="3" customFormat="1" ht="24.75" customHeight="1">
      <c r="A27" s="285" t="s">
        <v>97</v>
      </c>
      <c r="B27" s="203" t="s">
        <v>178</v>
      </c>
      <c r="C27" s="41">
        <v>100465</v>
      </c>
      <c r="D27" s="41">
        <v>171924</v>
      </c>
      <c r="E27" s="41">
        <v>63118</v>
      </c>
      <c r="F27" s="41">
        <v>17010</v>
      </c>
      <c r="G27" s="41">
        <v>20626</v>
      </c>
      <c r="H27" s="44">
        <v>373143</v>
      </c>
    </row>
    <row r="28" spans="1:8" s="3" customFormat="1" ht="24.75" customHeight="1" thickBot="1">
      <c r="A28" s="286"/>
      <c r="B28" s="204" t="s">
        <v>85</v>
      </c>
      <c r="C28" s="135">
        <v>26.923994286372785</v>
      </c>
      <c r="D28" s="135">
        <v>46.07456122719708</v>
      </c>
      <c r="E28" s="135">
        <v>16.915230890034117</v>
      </c>
      <c r="F28" s="135">
        <v>4.558574058738875</v>
      </c>
      <c r="G28" s="135">
        <v>5.527639537657145</v>
      </c>
      <c r="H28" s="138">
        <v>100</v>
      </c>
    </row>
    <row r="29" spans="1:8" s="3" customFormat="1" ht="27" customHeight="1">
      <c r="A29" s="285" t="s">
        <v>179</v>
      </c>
      <c r="B29" s="203" t="s">
        <v>178</v>
      </c>
      <c r="C29" s="41">
        <v>0</v>
      </c>
      <c r="D29" s="41">
        <v>67604</v>
      </c>
      <c r="E29" s="41">
        <v>54893</v>
      </c>
      <c r="F29" s="41">
        <v>3272</v>
      </c>
      <c r="G29" s="41">
        <v>5919</v>
      </c>
      <c r="H29" s="44">
        <v>131688</v>
      </c>
    </row>
    <row r="30" spans="1:8" s="3" customFormat="1" ht="27" customHeight="1" thickBot="1">
      <c r="A30" s="286"/>
      <c r="B30" s="204" t="s">
        <v>85</v>
      </c>
      <c r="C30" s="135">
        <v>0</v>
      </c>
      <c r="D30" s="135">
        <v>51.33649231516919</v>
      </c>
      <c r="E30" s="135">
        <v>41.684132191239904</v>
      </c>
      <c r="F30" s="135">
        <v>2.484660713200899</v>
      </c>
      <c r="G30" s="135">
        <v>4.494714780390013</v>
      </c>
      <c r="H30" s="138">
        <v>100</v>
      </c>
    </row>
    <row r="31" spans="1:8" s="3" customFormat="1" ht="19.5" customHeight="1">
      <c r="A31" s="285" t="s">
        <v>98</v>
      </c>
      <c r="B31" s="203" t="s">
        <v>178</v>
      </c>
      <c r="C31" s="41">
        <v>31391</v>
      </c>
      <c r="D31" s="41">
        <v>28790</v>
      </c>
      <c r="E31" s="41">
        <v>5416</v>
      </c>
      <c r="F31" s="41">
        <v>13219</v>
      </c>
      <c r="G31" s="41">
        <v>2221</v>
      </c>
      <c r="H31" s="44">
        <v>81037</v>
      </c>
    </row>
    <row r="32" spans="1:8" s="3" customFormat="1" ht="19.5" customHeight="1" thickBot="1">
      <c r="A32" s="286"/>
      <c r="B32" s="204" t="s">
        <v>85</v>
      </c>
      <c r="C32" s="135">
        <v>38.73662647926256</v>
      </c>
      <c r="D32" s="135">
        <v>35.52698150227674</v>
      </c>
      <c r="E32" s="135">
        <v>6.683366857114652</v>
      </c>
      <c r="F32" s="135">
        <v>16.312301788072116</v>
      </c>
      <c r="G32" s="135">
        <v>2.7407233732739367</v>
      </c>
      <c r="H32" s="138">
        <v>100.00000000000001</v>
      </c>
    </row>
    <row r="33" spans="1:8" s="3" customFormat="1" ht="30" customHeight="1">
      <c r="A33" s="285" t="s">
        <v>0</v>
      </c>
      <c r="B33" s="206" t="s">
        <v>178</v>
      </c>
      <c r="C33" s="44">
        <v>1305861</v>
      </c>
      <c r="D33" s="44">
        <v>3597450</v>
      </c>
      <c r="E33" s="44">
        <v>461800</v>
      </c>
      <c r="F33" s="44">
        <v>718895</v>
      </c>
      <c r="G33" s="44">
        <v>336614</v>
      </c>
      <c r="H33" s="44">
        <v>6420620</v>
      </c>
    </row>
    <row r="34" spans="1:8" s="3" customFormat="1" ht="30" customHeight="1" thickBot="1">
      <c r="A34" s="286"/>
      <c r="B34" s="209" t="s">
        <v>85</v>
      </c>
      <c r="C34" s="138">
        <v>20.338549859670874</v>
      </c>
      <c r="D34" s="138">
        <v>56.02963576726235</v>
      </c>
      <c r="E34" s="138">
        <v>7.19245181929471</v>
      </c>
      <c r="F34" s="138">
        <v>11.196660135625532</v>
      </c>
      <c r="G34" s="138">
        <v>5.242702418146534</v>
      </c>
      <c r="H34" s="138">
        <v>100</v>
      </c>
    </row>
    <row r="35" spans="1:2" s="3" customFormat="1" ht="12.75">
      <c r="A35" s="107" t="s">
        <v>93</v>
      </c>
      <c r="B35" s="15"/>
    </row>
    <row r="36" s="3" customFormat="1" ht="13.5" customHeight="1">
      <c r="B36" s="15"/>
    </row>
    <row r="38" spans="1:16" s="3" customFormat="1" ht="15.75" customHeight="1">
      <c r="A38" s="152"/>
      <c r="B38" s="153"/>
      <c r="C38" s="40"/>
      <c r="D38" s="154"/>
      <c r="E38" s="40"/>
      <c r="F38" s="154"/>
      <c r="G38" s="40"/>
      <c r="H38" s="154"/>
      <c r="I38" s="40"/>
      <c r="J38" s="154"/>
      <c r="K38" s="40"/>
      <c r="L38" s="154"/>
      <c r="M38" s="40"/>
      <c r="N38" s="154"/>
      <c r="O38" s="40"/>
      <c r="P38" s="154"/>
    </row>
    <row r="39" spans="1:16" s="3" customFormat="1" ht="19.5" customHeight="1">
      <c r="A39" s="176" t="s">
        <v>187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</row>
    <row r="40" spans="1:16" s="3" customFormat="1" ht="6.75" customHeight="1" thickBot="1">
      <c r="A40" s="170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</row>
    <row r="41" spans="1:8" s="3" customFormat="1" ht="13.5" customHeight="1" thickBot="1">
      <c r="A41" s="242">
        <v>2008</v>
      </c>
      <c r="B41" s="242"/>
      <c r="C41" s="242"/>
      <c r="D41" s="242"/>
      <c r="E41" s="242"/>
      <c r="F41" s="242"/>
      <c r="G41" s="242"/>
      <c r="H41" s="242"/>
    </row>
    <row r="42" spans="1:8" s="3" customFormat="1" ht="13.5" thickBot="1">
      <c r="A42" s="242" t="s">
        <v>46</v>
      </c>
      <c r="B42" s="242"/>
      <c r="C42" s="200" t="s">
        <v>25</v>
      </c>
      <c r="D42" s="201" t="s">
        <v>34</v>
      </c>
      <c r="E42" s="201" t="s">
        <v>28</v>
      </c>
      <c r="F42" s="201" t="s">
        <v>29</v>
      </c>
      <c r="G42" s="201" t="s">
        <v>30</v>
      </c>
      <c r="H42" s="200" t="s">
        <v>0</v>
      </c>
    </row>
    <row r="43" spans="1:8" s="3" customFormat="1" ht="19.5" customHeight="1">
      <c r="A43" s="285" t="s">
        <v>94</v>
      </c>
      <c r="B43" s="203" t="s">
        <v>178</v>
      </c>
      <c r="C43" s="41">
        <v>1516355</v>
      </c>
      <c r="D43" s="41">
        <v>6170178</v>
      </c>
      <c r="E43" s="41">
        <v>645522</v>
      </c>
      <c r="F43" s="41">
        <v>1311257</v>
      </c>
      <c r="G43" s="41">
        <v>620781</v>
      </c>
      <c r="H43" s="44">
        <v>10264093</v>
      </c>
    </row>
    <row r="44" spans="1:8" s="3" customFormat="1" ht="19.5" customHeight="1" thickBot="1">
      <c r="A44" s="286"/>
      <c r="B44" s="204" t="s">
        <v>85</v>
      </c>
      <c r="C44" s="135">
        <v>14.773394979955851</v>
      </c>
      <c r="D44" s="135">
        <v>60.11420590207045</v>
      </c>
      <c r="E44" s="135">
        <v>6.289128518223675</v>
      </c>
      <c r="F44" s="135">
        <v>12.775186273156333</v>
      </c>
      <c r="G44" s="135">
        <v>6.048084326593689</v>
      </c>
      <c r="H44" s="138">
        <v>100.00000000000001</v>
      </c>
    </row>
    <row r="45" spans="1:8" s="3" customFormat="1" ht="19.5" customHeight="1">
      <c r="A45" s="285" t="s">
        <v>99</v>
      </c>
      <c r="B45" s="203" t="s">
        <v>178</v>
      </c>
      <c r="C45" s="41">
        <v>73405</v>
      </c>
      <c r="D45" s="41">
        <v>698945</v>
      </c>
      <c r="E45" s="41">
        <v>87942</v>
      </c>
      <c r="F45" s="41">
        <v>140780</v>
      </c>
      <c r="G45" s="41">
        <v>64678</v>
      </c>
      <c r="H45" s="44">
        <v>1065750</v>
      </c>
    </row>
    <row r="46" spans="1:8" s="3" customFormat="1" ht="19.5" customHeight="1" thickBot="1">
      <c r="A46" s="286"/>
      <c r="B46" s="204" t="s">
        <v>85</v>
      </c>
      <c r="C46" s="135">
        <v>6.887637813746188</v>
      </c>
      <c r="D46" s="135">
        <v>65.58245367112362</v>
      </c>
      <c r="E46" s="135">
        <v>8.251653764954257</v>
      </c>
      <c r="F46" s="135">
        <v>13.209476894205958</v>
      </c>
      <c r="G46" s="135">
        <v>6.068777855969974</v>
      </c>
      <c r="H46" s="138">
        <v>100</v>
      </c>
    </row>
    <row r="47" spans="1:8" s="3" customFormat="1" ht="19.5" customHeight="1">
      <c r="A47" s="285" t="s">
        <v>96</v>
      </c>
      <c r="B47" s="203" t="s">
        <v>178</v>
      </c>
      <c r="C47" s="41">
        <v>168985</v>
      </c>
      <c r="D47" s="41">
        <v>94731</v>
      </c>
      <c r="E47" s="41">
        <v>26</v>
      </c>
      <c r="F47" s="41">
        <v>5212</v>
      </c>
      <c r="G47" s="41">
        <v>648</v>
      </c>
      <c r="H47" s="44">
        <v>269602</v>
      </c>
    </row>
    <row r="48" spans="1:8" s="3" customFormat="1" ht="19.5" customHeight="1" thickBot="1">
      <c r="A48" s="286"/>
      <c r="B48" s="204" t="s">
        <v>85</v>
      </c>
      <c r="C48" s="135">
        <v>62.6794311614899</v>
      </c>
      <c r="D48" s="135">
        <v>35.13735061312602</v>
      </c>
      <c r="E48" s="135">
        <v>0.009643845372066973</v>
      </c>
      <c r="F48" s="135">
        <v>1.9332200799697332</v>
      </c>
      <c r="G48" s="135">
        <v>0.24035430004228456</v>
      </c>
      <c r="H48" s="138">
        <v>100</v>
      </c>
    </row>
    <row r="49" spans="1:8" s="3" customFormat="1" ht="24.75" customHeight="1">
      <c r="A49" s="285" t="s">
        <v>97</v>
      </c>
      <c r="B49" s="203" t="s">
        <v>178</v>
      </c>
      <c r="C49" s="41">
        <v>149174</v>
      </c>
      <c r="D49" s="41">
        <v>240466</v>
      </c>
      <c r="E49" s="41">
        <v>48309</v>
      </c>
      <c r="F49" s="41">
        <v>36827</v>
      </c>
      <c r="G49" s="41">
        <v>27385</v>
      </c>
      <c r="H49" s="44">
        <v>502161</v>
      </c>
    </row>
    <row r="50" spans="1:8" s="3" customFormat="1" ht="24.75" customHeight="1" thickBot="1">
      <c r="A50" s="286"/>
      <c r="B50" s="204" t="s">
        <v>85</v>
      </c>
      <c r="C50" s="135">
        <v>29.70640890073104</v>
      </c>
      <c r="D50" s="135">
        <v>47.88623568935063</v>
      </c>
      <c r="E50" s="135">
        <v>9.62022140309582</v>
      </c>
      <c r="F50" s="135">
        <v>7.333703732468273</v>
      </c>
      <c r="G50" s="135">
        <v>5.453430274354241</v>
      </c>
      <c r="H50" s="138">
        <v>100.00000000000003</v>
      </c>
    </row>
    <row r="51" spans="1:8" s="3" customFormat="1" ht="30" customHeight="1">
      <c r="A51" s="285" t="s">
        <v>179</v>
      </c>
      <c r="B51" s="203" t="s">
        <v>178</v>
      </c>
      <c r="C51" s="41">
        <v>0</v>
      </c>
      <c r="D51" s="41">
        <v>201357</v>
      </c>
      <c r="E51" s="41">
        <v>19135</v>
      </c>
      <c r="F51" s="41">
        <v>27386</v>
      </c>
      <c r="G51" s="41">
        <v>3656</v>
      </c>
      <c r="H51" s="44">
        <v>251534</v>
      </c>
    </row>
    <row r="52" spans="1:8" s="3" customFormat="1" ht="30" customHeight="1" thickBot="1">
      <c r="A52" s="286"/>
      <c r="B52" s="204" t="s">
        <v>85</v>
      </c>
      <c r="C52" s="135">
        <v>0</v>
      </c>
      <c r="D52" s="135">
        <v>80.05160336177217</v>
      </c>
      <c r="E52" s="135">
        <v>7.607321475426781</v>
      </c>
      <c r="F52" s="135">
        <v>10.887593724903988</v>
      </c>
      <c r="G52" s="135">
        <v>1.4534814378970635</v>
      </c>
      <c r="H52" s="138">
        <v>100.00000000000001</v>
      </c>
    </row>
    <row r="53" spans="1:8" s="3" customFormat="1" ht="19.5" customHeight="1">
      <c r="A53" s="285" t="s">
        <v>98</v>
      </c>
      <c r="B53" s="203" t="s">
        <v>178</v>
      </c>
      <c r="C53" s="41">
        <v>8099</v>
      </c>
      <c r="D53" s="41">
        <v>32426</v>
      </c>
      <c r="E53" s="41">
        <v>4105</v>
      </c>
      <c r="F53" s="41">
        <v>301</v>
      </c>
      <c r="G53" s="41">
        <v>159</v>
      </c>
      <c r="H53" s="44">
        <v>45090</v>
      </c>
    </row>
    <row r="54" spans="1:8" s="3" customFormat="1" ht="19.5" customHeight="1" thickBot="1">
      <c r="A54" s="286"/>
      <c r="B54" s="204" t="s">
        <v>85</v>
      </c>
      <c r="C54" s="135">
        <v>17.961854069638502</v>
      </c>
      <c r="D54" s="135">
        <v>71.91394987802174</v>
      </c>
      <c r="E54" s="135">
        <v>9.104014193834553</v>
      </c>
      <c r="F54" s="135">
        <v>0.6675537813262364</v>
      </c>
      <c r="G54" s="135">
        <v>0.3526280771789754</v>
      </c>
      <c r="H54" s="138">
        <v>100.00000000000001</v>
      </c>
    </row>
    <row r="55" spans="1:8" s="3" customFormat="1" ht="30" customHeight="1">
      <c r="A55" s="285" t="s">
        <v>0</v>
      </c>
      <c r="B55" s="206" t="s">
        <v>178</v>
      </c>
      <c r="C55" s="44">
        <v>1916018</v>
      </c>
      <c r="D55" s="44">
        <v>7438103</v>
      </c>
      <c r="E55" s="44">
        <v>805039</v>
      </c>
      <c r="F55" s="44">
        <v>1521763</v>
      </c>
      <c r="G55" s="44">
        <v>717307</v>
      </c>
      <c r="H55" s="44">
        <v>12398230</v>
      </c>
    </row>
    <row r="56" spans="1:8" s="3" customFormat="1" ht="30" customHeight="1" thickBot="1">
      <c r="A56" s="290"/>
      <c r="B56" s="210" t="s">
        <v>85</v>
      </c>
      <c r="C56" s="211">
        <v>15.453963993247424</v>
      </c>
      <c r="D56" s="211">
        <v>59.99326516768926</v>
      </c>
      <c r="E56" s="211">
        <v>6.493176848630813</v>
      </c>
      <c r="F56" s="211">
        <v>12.274034277473477</v>
      </c>
      <c r="G56" s="211">
        <v>5.785559712959027</v>
      </c>
      <c r="H56" s="211">
        <v>100</v>
      </c>
    </row>
    <row r="57" spans="1:9" s="3" customFormat="1" ht="13.5" thickBot="1">
      <c r="A57" s="242">
        <v>2009</v>
      </c>
      <c r="B57" s="242"/>
      <c r="C57" s="242"/>
      <c r="D57" s="242"/>
      <c r="E57" s="242"/>
      <c r="F57" s="242"/>
      <c r="G57" s="242"/>
      <c r="H57" s="242"/>
      <c r="I57" s="242"/>
    </row>
    <row r="58" spans="1:9" s="3" customFormat="1" ht="13.5" thickBot="1">
      <c r="A58" s="289" t="s">
        <v>46</v>
      </c>
      <c r="B58" s="289"/>
      <c r="C58" s="200" t="s">
        <v>25</v>
      </c>
      <c r="D58" s="201" t="s">
        <v>34</v>
      </c>
      <c r="E58" s="201" t="s">
        <v>28</v>
      </c>
      <c r="F58" s="201" t="s">
        <v>29</v>
      </c>
      <c r="G58" s="201" t="s">
        <v>30</v>
      </c>
      <c r="H58" s="201" t="s">
        <v>26</v>
      </c>
      <c r="I58" s="200" t="s">
        <v>0</v>
      </c>
    </row>
    <row r="59" spans="1:9" s="3" customFormat="1" ht="19.5" customHeight="1">
      <c r="A59" s="285" t="s">
        <v>94</v>
      </c>
      <c r="B59" s="203" t="s">
        <v>178</v>
      </c>
      <c r="C59" s="41">
        <v>1026237</v>
      </c>
      <c r="D59" s="41">
        <v>3825646</v>
      </c>
      <c r="E59" s="41">
        <v>441491</v>
      </c>
      <c r="F59" s="41">
        <v>770516</v>
      </c>
      <c r="G59" s="41">
        <v>348376</v>
      </c>
      <c r="H59" s="41">
        <v>28628</v>
      </c>
      <c r="I59" s="44">
        <v>6440894</v>
      </c>
    </row>
    <row r="60" spans="1:9" s="3" customFormat="1" ht="19.5" customHeight="1" thickBot="1">
      <c r="A60" s="286"/>
      <c r="B60" s="204" t="s">
        <v>85</v>
      </c>
      <c r="C60" s="135">
        <v>15.933145305605091</v>
      </c>
      <c r="D60" s="135">
        <v>59.396195621291085</v>
      </c>
      <c r="E60" s="135">
        <v>6.8544987698912605</v>
      </c>
      <c r="F60" s="135">
        <v>11.962873476880693</v>
      </c>
      <c r="G60" s="135">
        <v>5.408814366452856</v>
      </c>
      <c r="H60" s="135">
        <v>0.4444724598790168</v>
      </c>
      <c r="I60" s="33">
        <v>100.00000000000001</v>
      </c>
    </row>
    <row r="61" spans="1:9" s="3" customFormat="1" ht="19.5" customHeight="1">
      <c r="A61" s="285" t="s">
        <v>99</v>
      </c>
      <c r="B61" s="203" t="s">
        <v>178</v>
      </c>
      <c r="C61" s="41">
        <v>17388</v>
      </c>
      <c r="D61" s="41">
        <v>196761</v>
      </c>
      <c r="E61" s="41">
        <v>34257</v>
      </c>
      <c r="F61" s="41">
        <v>45685</v>
      </c>
      <c r="G61" s="41">
        <v>43505</v>
      </c>
      <c r="H61" s="41">
        <v>555</v>
      </c>
      <c r="I61" s="44">
        <v>338151</v>
      </c>
    </row>
    <row r="62" spans="1:9" s="3" customFormat="1" ht="19.5" customHeight="1" thickBot="1">
      <c r="A62" s="286"/>
      <c r="B62" s="204" t="s">
        <v>85</v>
      </c>
      <c r="C62" s="135">
        <v>5.142081496136341</v>
      </c>
      <c r="D62" s="135">
        <v>58.187318683073535</v>
      </c>
      <c r="E62" s="135">
        <v>10.130681263695804</v>
      </c>
      <c r="F62" s="135">
        <v>13.510236551126567</v>
      </c>
      <c r="G62" s="135">
        <v>12.86555414592889</v>
      </c>
      <c r="H62" s="135">
        <v>0.16412786003885838</v>
      </c>
      <c r="I62" s="138">
        <v>100</v>
      </c>
    </row>
    <row r="63" spans="1:9" s="3" customFormat="1" ht="24.75" customHeight="1">
      <c r="A63" s="285" t="s">
        <v>96</v>
      </c>
      <c r="B63" s="203" t="s">
        <v>178</v>
      </c>
      <c r="C63" s="41">
        <v>13877</v>
      </c>
      <c r="D63" s="41">
        <v>100787</v>
      </c>
      <c r="E63" s="41">
        <v>2310</v>
      </c>
      <c r="F63" s="41">
        <v>5036</v>
      </c>
      <c r="G63" s="41">
        <v>0</v>
      </c>
      <c r="H63" s="41">
        <v>0</v>
      </c>
      <c r="I63" s="44">
        <v>122010</v>
      </c>
    </row>
    <row r="64" spans="1:9" s="3" customFormat="1" ht="24.75" customHeight="1" thickBot="1">
      <c r="A64" s="286"/>
      <c r="B64" s="204" t="s">
        <v>85</v>
      </c>
      <c r="C64" s="135">
        <v>11.373657896893697</v>
      </c>
      <c r="D64" s="135">
        <v>82.60552413736579</v>
      </c>
      <c r="E64" s="135">
        <v>1.8932874354561102</v>
      </c>
      <c r="F64" s="135">
        <v>4.127530530284403</v>
      </c>
      <c r="G64" s="135">
        <v>0</v>
      </c>
      <c r="H64" s="135">
        <v>0</v>
      </c>
      <c r="I64" s="138">
        <v>100</v>
      </c>
    </row>
    <row r="65" spans="1:9" s="3" customFormat="1" ht="24.75" customHeight="1">
      <c r="A65" s="285" t="s">
        <v>97</v>
      </c>
      <c r="B65" s="203" t="s">
        <v>178</v>
      </c>
      <c r="C65" s="41">
        <v>0</v>
      </c>
      <c r="D65" s="41">
        <v>41794</v>
      </c>
      <c r="E65" s="41">
        <v>12681</v>
      </c>
      <c r="F65" s="41">
        <v>117</v>
      </c>
      <c r="G65" s="41">
        <v>8557</v>
      </c>
      <c r="H65" s="41">
        <v>209944</v>
      </c>
      <c r="I65" s="44">
        <v>273093</v>
      </c>
    </row>
    <row r="66" spans="1:9" s="3" customFormat="1" ht="24.75" customHeight="1" thickBot="1">
      <c r="A66" s="286"/>
      <c r="B66" s="204" t="s">
        <v>85</v>
      </c>
      <c r="C66" s="135">
        <v>0</v>
      </c>
      <c r="D66" s="135">
        <v>15.303944077658526</v>
      </c>
      <c r="E66" s="135">
        <v>4.6434731025694544</v>
      </c>
      <c r="F66" s="135">
        <v>0.04284254814294032</v>
      </c>
      <c r="G66" s="135">
        <v>3.1333648244370966</v>
      </c>
      <c r="H66" s="135">
        <v>76.87637544719198</v>
      </c>
      <c r="I66" s="138">
        <v>100</v>
      </c>
    </row>
    <row r="67" spans="1:9" s="3" customFormat="1" ht="30" customHeight="1">
      <c r="A67" s="285" t="s">
        <v>179</v>
      </c>
      <c r="B67" s="203" t="s">
        <v>178</v>
      </c>
      <c r="C67" s="41">
        <v>168</v>
      </c>
      <c r="D67" s="41">
        <v>202006</v>
      </c>
      <c r="E67" s="41">
        <v>50566</v>
      </c>
      <c r="F67" s="41">
        <v>20161</v>
      </c>
      <c r="G67" s="41">
        <v>5842</v>
      </c>
      <c r="H67" s="41">
        <v>4919</v>
      </c>
      <c r="I67" s="44">
        <v>283662</v>
      </c>
    </row>
    <row r="68" spans="1:9" s="3" customFormat="1" ht="30" customHeight="1" thickBot="1">
      <c r="A68" s="286"/>
      <c r="B68" s="204" t="s">
        <v>85</v>
      </c>
      <c r="C68" s="135">
        <v>0.05922541616430822</v>
      </c>
      <c r="D68" s="135">
        <v>71.21362748623362</v>
      </c>
      <c r="E68" s="135">
        <v>17.82614520097863</v>
      </c>
      <c r="F68" s="135">
        <v>7.1074024719560605</v>
      </c>
      <c r="G68" s="135">
        <v>2.059493340666004</v>
      </c>
      <c r="H68" s="135">
        <v>1.734106084001382</v>
      </c>
      <c r="I68" s="138">
        <v>100.00000000000001</v>
      </c>
    </row>
    <row r="69" spans="1:9" s="3" customFormat="1" ht="19.5" customHeight="1">
      <c r="A69" s="285" t="s">
        <v>98</v>
      </c>
      <c r="B69" s="203" t="s">
        <v>178</v>
      </c>
      <c r="C69" s="41">
        <v>8046</v>
      </c>
      <c r="D69" s="41">
        <v>153996</v>
      </c>
      <c r="E69" s="41">
        <v>10621</v>
      </c>
      <c r="F69" s="41">
        <v>21895</v>
      </c>
      <c r="G69" s="41">
        <v>9948</v>
      </c>
      <c r="H69" s="41">
        <v>8343</v>
      </c>
      <c r="I69" s="44">
        <v>212849</v>
      </c>
    </row>
    <row r="70" spans="1:9" s="3" customFormat="1" ht="19.5" customHeight="1" thickBot="1">
      <c r="A70" s="286"/>
      <c r="B70" s="204" t="s">
        <v>85</v>
      </c>
      <c r="C70" s="135">
        <v>3.780144609558889</v>
      </c>
      <c r="D70" s="135">
        <v>72.34988184111741</v>
      </c>
      <c r="E70" s="135">
        <v>4.989922433274293</v>
      </c>
      <c r="F70" s="135">
        <v>10.286635126310202</v>
      </c>
      <c r="G70" s="135">
        <v>4.673735840901296</v>
      </c>
      <c r="H70" s="135">
        <v>3.9196801488379087</v>
      </c>
      <c r="I70" s="138">
        <v>100</v>
      </c>
    </row>
    <row r="71" spans="1:9" s="3" customFormat="1" ht="30" customHeight="1">
      <c r="A71" s="285" t="s">
        <v>0</v>
      </c>
      <c r="B71" s="206" t="s">
        <v>178</v>
      </c>
      <c r="C71" s="44">
        <v>1065716</v>
      </c>
      <c r="D71" s="44">
        <v>4520990</v>
      </c>
      <c r="E71" s="44">
        <v>551926</v>
      </c>
      <c r="F71" s="44">
        <v>863410</v>
      </c>
      <c r="G71" s="44">
        <v>416228</v>
      </c>
      <c r="H71" s="44">
        <v>252389</v>
      </c>
      <c r="I71" s="44">
        <v>7670659</v>
      </c>
    </row>
    <row r="72" spans="1:9" s="3" customFormat="1" ht="30" customHeight="1" thickBot="1">
      <c r="A72" s="286"/>
      <c r="B72" s="209" t="s">
        <v>85</v>
      </c>
      <c r="C72" s="138">
        <v>13.893408636728605</v>
      </c>
      <c r="D72" s="138">
        <v>58.93874307279205</v>
      </c>
      <c r="E72" s="138">
        <v>7.1952879146368</v>
      </c>
      <c r="F72" s="138">
        <v>11.25600812133612</v>
      </c>
      <c r="G72" s="138">
        <v>5.4262352165570125</v>
      </c>
      <c r="H72" s="138">
        <v>3.290317037949412</v>
      </c>
      <c r="I72" s="138">
        <v>100</v>
      </c>
    </row>
    <row r="73" ht="12.75">
      <c r="A73" s="107" t="s">
        <v>93</v>
      </c>
    </row>
  </sheetData>
  <sheetProtection/>
  <mergeCells count="36">
    <mergeCell ref="A69:A70"/>
    <mergeCell ref="A71:A72"/>
    <mergeCell ref="A59:A60"/>
    <mergeCell ref="A58:B58"/>
    <mergeCell ref="A61:A62"/>
    <mergeCell ref="A63:A64"/>
    <mergeCell ref="A65:A66"/>
    <mergeCell ref="A67:A68"/>
    <mergeCell ref="A49:A50"/>
    <mergeCell ref="A51:A52"/>
    <mergeCell ref="A53:A54"/>
    <mergeCell ref="A55:A56"/>
    <mergeCell ref="A57:I57"/>
    <mergeCell ref="A41:H41"/>
    <mergeCell ref="A43:A44"/>
    <mergeCell ref="A45:A46"/>
    <mergeCell ref="A47:A48"/>
    <mergeCell ref="A42:B42"/>
    <mergeCell ref="A23:A24"/>
    <mergeCell ref="A25:A26"/>
    <mergeCell ref="A27:A28"/>
    <mergeCell ref="A29:A30"/>
    <mergeCell ref="A31:A32"/>
    <mergeCell ref="A33:A34"/>
    <mergeCell ref="A15:A16"/>
    <mergeCell ref="A17:A18"/>
    <mergeCell ref="A4:B4"/>
    <mergeCell ref="A19:H19"/>
    <mergeCell ref="A20:B20"/>
    <mergeCell ref="A21:A22"/>
    <mergeCell ref="A3:H3"/>
    <mergeCell ref="A5:A6"/>
    <mergeCell ref="A7:A8"/>
    <mergeCell ref="A9:A10"/>
    <mergeCell ref="A11:A12"/>
    <mergeCell ref="A13:A14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57421875" style="1" customWidth="1"/>
    <col min="2" max="5" width="13.7109375" style="1" customWidth="1"/>
    <col min="6" max="8" width="11.7109375" style="1" customWidth="1"/>
    <col min="9" max="16384" width="9.140625" style="1" customWidth="1"/>
  </cols>
  <sheetData>
    <row r="1" spans="1:5" s="3" customFormat="1" ht="19.5" customHeight="1">
      <c r="A1" s="176" t="s">
        <v>188</v>
      </c>
      <c r="B1" s="176"/>
      <c r="C1" s="176"/>
      <c r="D1" s="176"/>
      <c r="E1" s="176"/>
    </row>
    <row r="2" s="3" customFormat="1" ht="6.75" customHeight="1" thickBot="1">
      <c r="B2" s="15"/>
    </row>
    <row r="3" spans="1:5" s="3" customFormat="1" ht="13.5" thickBot="1">
      <c r="A3" s="5"/>
      <c r="B3" s="105">
        <v>2006</v>
      </c>
      <c r="C3" s="105">
        <v>2007</v>
      </c>
      <c r="D3" s="105">
        <v>2008</v>
      </c>
      <c r="E3" s="105">
        <v>2009</v>
      </c>
    </row>
    <row r="4" spans="1:5" s="3" customFormat="1" ht="15.75" customHeight="1" thickBot="1">
      <c r="A4" s="106" t="s">
        <v>63</v>
      </c>
      <c r="B4" s="291" t="s">
        <v>100</v>
      </c>
      <c r="C4" s="291"/>
      <c r="D4" s="291"/>
      <c r="E4" s="291"/>
    </row>
    <row r="5" spans="1:5" s="3" customFormat="1" ht="15.75" customHeight="1">
      <c r="A5" s="144" t="s">
        <v>101</v>
      </c>
      <c r="B5" s="41">
        <v>776</v>
      </c>
      <c r="C5" s="41">
        <v>536</v>
      </c>
      <c r="D5" s="41">
        <v>581</v>
      </c>
      <c r="E5" s="41">
        <v>728</v>
      </c>
    </row>
    <row r="6" spans="1:5" s="3" customFormat="1" ht="15.75" customHeight="1">
      <c r="A6" s="146" t="s">
        <v>102</v>
      </c>
      <c r="B6" s="42">
        <v>231</v>
      </c>
      <c r="C6" s="42">
        <v>176</v>
      </c>
      <c r="D6" s="42">
        <v>325</v>
      </c>
      <c r="E6" s="42">
        <v>380</v>
      </c>
    </row>
    <row r="7" spans="1:5" s="3" customFormat="1" ht="15.75" customHeight="1">
      <c r="A7" s="146" t="s">
        <v>103</v>
      </c>
      <c r="B7" s="42">
        <v>133</v>
      </c>
      <c r="C7" s="42">
        <v>128</v>
      </c>
      <c r="D7" s="42">
        <v>79</v>
      </c>
      <c r="E7" s="42">
        <v>189</v>
      </c>
    </row>
    <row r="8" spans="1:5" s="3" customFormat="1" ht="15.75" customHeight="1">
      <c r="A8" s="146" t="s">
        <v>104</v>
      </c>
      <c r="B8" s="42">
        <v>97</v>
      </c>
      <c r="C8" s="42">
        <v>115</v>
      </c>
      <c r="D8" s="42">
        <v>278</v>
      </c>
      <c r="E8" s="42">
        <v>227</v>
      </c>
    </row>
    <row r="9" spans="1:5" s="3" customFormat="1" ht="15.75" customHeight="1">
      <c r="A9" s="146" t="s">
        <v>105</v>
      </c>
      <c r="B9" s="42">
        <v>258</v>
      </c>
      <c r="C9" s="42">
        <v>518</v>
      </c>
      <c r="D9" s="42">
        <v>989</v>
      </c>
      <c r="E9" s="42">
        <v>1242</v>
      </c>
    </row>
    <row r="10" spans="1:5" s="3" customFormat="1" ht="15.75" customHeight="1">
      <c r="A10" s="146" t="s">
        <v>106</v>
      </c>
      <c r="B10" s="42">
        <v>28</v>
      </c>
      <c r="C10" s="42">
        <v>54</v>
      </c>
      <c r="D10" s="42">
        <v>25</v>
      </c>
      <c r="E10" s="42">
        <v>34</v>
      </c>
    </row>
    <row r="11" spans="1:5" s="3" customFormat="1" ht="15.75" customHeight="1">
      <c r="A11" s="146" t="s">
        <v>107</v>
      </c>
      <c r="B11" s="42">
        <v>20</v>
      </c>
      <c r="C11" s="42">
        <v>55</v>
      </c>
      <c r="D11" s="42">
        <v>13</v>
      </c>
      <c r="E11" s="42">
        <v>149</v>
      </c>
    </row>
    <row r="12" spans="1:5" s="3" customFormat="1" ht="15.75" customHeight="1">
      <c r="A12" s="146" t="s">
        <v>108</v>
      </c>
      <c r="B12" s="42">
        <v>89</v>
      </c>
      <c r="C12" s="42">
        <v>106</v>
      </c>
      <c r="D12" s="42">
        <v>181</v>
      </c>
      <c r="E12" s="42">
        <v>161</v>
      </c>
    </row>
    <row r="13" spans="1:5" s="3" customFormat="1" ht="15.75" customHeight="1">
      <c r="A13" s="146" t="s">
        <v>109</v>
      </c>
      <c r="B13" s="42">
        <v>32</v>
      </c>
      <c r="C13" s="42">
        <v>64</v>
      </c>
      <c r="D13" s="42">
        <v>80</v>
      </c>
      <c r="E13" s="42">
        <v>124</v>
      </c>
    </row>
    <row r="14" spans="1:5" s="3" customFormat="1" ht="15.75" customHeight="1">
      <c r="A14" s="146" t="s">
        <v>110</v>
      </c>
      <c r="B14" s="42">
        <v>161</v>
      </c>
      <c r="C14" s="42">
        <v>179</v>
      </c>
      <c r="D14" s="42">
        <v>255</v>
      </c>
      <c r="E14" s="42">
        <f>267+37</f>
        <v>304</v>
      </c>
    </row>
    <row r="15" spans="1:5" s="3" customFormat="1" ht="15.75" customHeight="1" thickBot="1">
      <c r="A15" s="145" t="s">
        <v>45</v>
      </c>
      <c r="B15" s="43">
        <v>33</v>
      </c>
      <c r="C15" s="43">
        <v>59</v>
      </c>
      <c r="D15" s="43">
        <v>53</v>
      </c>
      <c r="E15" s="43">
        <v>38</v>
      </c>
    </row>
    <row r="16" spans="1:5" s="3" customFormat="1" ht="15.75" customHeight="1" thickBot="1">
      <c r="A16" s="137" t="s">
        <v>0</v>
      </c>
      <c r="B16" s="34">
        <f>SUM(B5:B15)</f>
        <v>1858</v>
      </c>
      <c r="C16" s="34">
        <f>SUM(C5:C15)</f>
        <v>1990</v>
      </c>
      <c r="D16" s="34">
        <f>SUM(D5:D15)</f>
        <v>2859</v>
      </c>
      <c r="E16" s="34">
        <f>SUM(E5:E15)</f>
        <v>3576</v>
      </c>
    </row>
    <row r="17" spans="1:2" s="3" customFormat="1" ht="12.75">
      <c r="A17" s="107" t="s">
        <v>93</v>
      </c>
      <c r="B17" s="15"/>
    </row>
    <row r="18" s="3" customFormat="1" ht="12.75">
      <c r="B18" s="15"/>
    </row>
    <row r="19" spans="1:5" s="3" customFormat="1" ht="19.5" customHeight="1">
      <c r="A19" s="176" t="s">
        <v>189</v>
      </c>
      <c r="B19" s="176"/>
      <c r="C19" s="176"/>
      <c r="D19" s="176"/>
      <c r="E19" s="176"/>
    </row>
    <row r="20" s="3" customFormat="1" ht="6.75" customHeight="1" thickBot="1">
      <c r="B20" s="15"/>
    </row>
    <row r="21" spans="1:5" s="3" customFormat="1" ht="13.5" thickBot="1">
      <c r="A21" s="106" t="s">
        <v>46</v>
      </c>
      <c r="B21" s="106">
        <v>2006</v>
      </c>
      <c r="C21" s="106">
        <v>2007</v>
      </c>
      <c r="D21" s="106">
        <v>2008</v>
      </c>
      <c r="E21" s="106">
        <v>2009</v>
      </c>
    </row>
    <row r="22" spans="1:5" s="3" customFormat="1" ht="15.75" customHeight="1">
      <c r="A22" s="144" t="s">
        <v>25</v>
      </c>
      <c r="B22" s="143">
        <v>59408</v>
      </c>
      <c r="C22" s="143">
        <v>10986</v>
      </c>
      <c r="D22" s="143">
        <v>0</v>
      </c>
      <c r="E22" s="143">
        <v>0</v>
      </c>
    </row>
    <row r="23" spans="1:5" s="3" customFormat="1" ht="15.75" customHeight="1">
      <c r="A23" s="120" t="s">
        <v>34</v>
      </c>
      <c r="B23" s="42">
        <v>7058368</v>
      </c>
      <c r="C23" s="42">
        <v>3027765</v>
      </c>
      <c r="D23" s="42">
        <v>867977</v>
      </c>
      <c r="E23" s="42">
        <v>1601680</v>
      </c>
    </row>
    <row r="24" spans="1:5" s="3" customFormat="1" ht="15.75" customHeight="1">
      <c r="A24" s="146" t="s">
        <v>40</v>
      </c>
      <c r="B24" s="42">
        <v>428492</v>
      </c>
      <c r="C24" s="42">
        <v>2105</v>
      </c>
      <c r="D24" s="42">
        <v>81051</v>
      </c>
      <c r="E24" s="42">
        <v>272914</v>
      </c>
    </row>
    <row r="25" spans="1:5" s="3" customFormat="1" ht="15.75" customHeight="1">
      <c r="A25" s="120" t="s">
        <v>28</v>
      </c>
      <c r="B25" s="42">
        <v>1083733</v>
      </c>
      <c r="C25" s="42">
        <v>1608523</v>
      </c>
      <c r="D25" s="42">
        <v>1397481</v>
      </c>
      <c r="E25" s="42">
        <v>4122264</v>
      </c>
    </row>
    <row r="26" spans="1:5" s="3" customFormat="1" ht="15.75" customHeight="1">
      <c r="A26" s="120" t="s">
        <v>29</v>
      </c>
      <c r="B26" s="42">
        <v>2692083</v>
      </c>
      <c r="C26" s="42">
        <v>2379302</v>
      </c>
      <c r="D26" s="42">
        <v>2111955</v>
      </c>
      <c r="E26" s="42">
        <v>4661905</v>
      </c>
    </row>
    <row r="27" spans="1:5" s="3" customFormat="1" ht="15.75" customHeight="1" thickBot="1">
      <c r="A27" s="121" t="s">
        <v>30</v>
      </c>
      <c r="B27" s="103">
        <v>3876649</v>
      </c>
      <c r="C27" s="103">
        <v>1450459</v>
      </c>
      <c r="D27" s="103">
        <v>548169</v>
      </c>
      <c r="E27" s="103">
        <v>1076660</v>
      </c>
    </row>
    <row r="28" spans="1:5" s="3" customFormat="1" ht="15.75" customHeight="1" thickBot="1">
      <c r="A28" s="137" t="s">
        <v>0</v>
      </c>
      <c r="B28" s="34">
        <f>SUM(B22:B27)</f>
        <v>15198733</v>
      </c>
      <c r="C28" s="34">
        <f>SUM(C22:C27)</f>
        <v>8479140</v>
      </c>
      <c r="D28" s="34">
        <f>SUM(D22:D27)</f>
        <v>5006633</v>
      </c>
      <c r="E28" s="34">
        <f>SUM(E22:E27)</f>
        <v>11735423</v>
      </c>
    </row>
    <row r="29" spans="1:2" s="3" customFormat="1" ht="12.75">
      <c r="A29" s="107" t="s">
        <v>93</v>
      </c>
      <c r="B29" s="15"/>
    </row>
    <row r="31" spans="1:5" s="3" customFormat="1" ht="19.5" customHeight="1">
      <c r="A31" s="176" t="s">
        <v>180</v>
      </c>
      <c r="B31" s="176"/>
      <c r="C31" s="176"/>
      <c r="D31" s="176"/>
      <c r="E31" s="176"/>
    </row>
    <row r="32" s="3" customFormat="1" ht="6.75" customHeight="1" thickBot="1">
      <c r="B32" s="15"/>
    </row>
    <row r="33" spans="1:3" s="3" customFormat="1" ht="31.5" customHeight="1" thickBot="1">
      <c r="A33" s="106" t="s">
        <v>111</v>
      </c>
      <c r="B33" s="137" t="s">
        <v>91</v>
      </c>
      <c r="C33" s="106" t="s">
        <v>116</v>
      </c>
    </row>
    <row r="34" spans="1:3" s="3" customFormat="1" ht="15.75" customHeight="1">
      <c r="A34" s="142" t="s">
        <v>119</v>
      </c>
      <c r="B34" s="143">
        <v>3063</v>
      </c>
      <c r="C34" s="143">
        <v>17409</v>
      </c>
    </row>
    <row r="35" spans="1:3" s="3" customFormat="1" ht="15.75" customHeight="1">
      <c r="A35" s="142" t="s">
        <v>120</v>
      </c>
      <c r="B35" s="143">
        <v>393</v>
      </c>
      <c r="C35" s="143">
        <v>1418</v>
      </c>
    </row>
    <row r="36" spans="1:3" s="3" customFormat="1" ht="15.75" customHeight="1">
      <c r="A36" s="142" t="s">
        <v>90</v>
      </c>
      <c r="B36" s="143">
        <v>854</v>
      </c>
      <c r="C36" s="143">
        <v>1108</v>
      </c>
    </row>
    <row r="37" spans="1:3" s="3" customFormat="1" ht="15.75" customHeight="1">
      <c r="A37" s="142" t="s">
        <v>117</v>
      </c>
      <c r="B37" s="143">
        <v>756</v>
      </c>
      <c r="C37" s="143">
        <v>999</v>
      </c>
    </row>
    <row r="38" spans="1:3" s="3" customFormat="1" ht="15.75" customHeight="1">
      <c r="A38" s="142" t="s">
        <v>121</v>
      </c>
      <c r="B38" s="143">
        <v>28</v>
      </c>
      <c r="C38" s="143">
        <v>480</v>
      </c>
    </row>
    <row r="39" spans="1:3" s="3" customFormat="1" ht="15.75" customHeight="1">
      <c r="A39" s="142" t="s">
        <v>122</v>
      </c>
      <c r="B39" s="143">
        <v>17</v>
      </c>
      <c r="C39" s="143">
        <v>352</v>
      </c>
    </row>
    <row r="40" spans="1:3" s="3" customFormat="1" ht="15.75" customHeight="1" thickBot="1">
      <c r="A40" s="142" t="s">
        <v>118</v>
      </c>
      <c r="B40" s="143">
        <v>8</v>
      </c>
      <c r="C40" s="143">
        <v>8</v>
      </c>
    </row>
    <row r="41" spans="1:3" s="3" customFormat="1" ht="15.75" customHeight="1" thickBot="1">
      <c r="A41" s="137" t="s">
        <v>0</v>
      </c>
      <c r="B41" s="34">
        <f>SUM(B34:B40)</f>
        <v>5119</v>
      </c>
      <c r="C41" s="34">
        <f>SUM(C34:C40)</f>
        <v>21774</v>
      </c>
    </row>
    <row r="42" spans="1:2" s="3" customFormat="1" ht="12.75">
      <c r="A42" s="107" t="s">
        <v>93</v>
      </c>
      <c r="B42" s="15"/>
    </row>
  </sheetData>
  <sheetProtection/>
  <mergeCells count="1">
    <mergeCell ref="B4:E4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2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8.28125" style="1" customWidth="1"/>
    <col min="2" max="2" width="13.57421875" style="1" customWidth="1"/>
    <col min="3" max="7" width="12.7109375" style="1" customWidth="1"/>
    <col min="8" max="16384" width="9.140625" style="1" customWidth="1"/>
  </cols>
  <sheetData>
    <row r="1" spans="1:11" s="111" customFormat="1" ht="39.75" customHeight="1">
      <c r="A1" s="292" t="s">
        <v>190</v>
      </c>
      <c r="B1" s="292"/>
      <c r="C1" s="292"/>
      <c r="D1" s="292"/>
      <c r="E1" s="292"/>
      <c r="F1" s="292"/>
      <c r="G1" s="292"/>
      <c r="H1" s="150"/>
      <c r="I1" s="150"/>
      <c r="J1" s="150"/>
      <c r="K1" s="150"/>
    </row>
    <row r="2" s="3" customFormat="1" ht="6.75" customHeight="1" thickBot="1">
      <c r="B2" s="15"/>
    </row>
    <row r="3" spans="1:5" s="3" customFormat="1" ht="13.5" customHeight="1" thickBot="1">
      <c r="A3" s="242">
        <v>2009</v>
      </c>
      <c r="B3" s="242"/>
      <c r="C3" s="242"/>
      <c r="D3" s="242"/>
      <c r="E3" s="242"/>
    </row>
    <row r="4" spans="1:5" ht="26.25" thickBot="1">
      <c r="A4" s="212" t="s">
        <v>111</v>
      </c>
      <c r="B4" s="213" t="s">
        <v>114</v>
      </c>
      <c r="C4" s="214" t="s">
        <v>113</v>
      </c>
      <c r="D4" s="229" t="s">
        <v>115</v>
      </c>
      <c r="E4" s="214" t="s">
        <v>0</v>
      </c>
    </row>
    <row r="5" spans="1:5" ht="19.5" customHeight="1">
      <c r="A5" s="217" t="s">
        <v>25</v>
      </c>
      <c r="B5" s="218">
        <v>89</v>
      </c>
      <c r="C5" s="218">
        <v>9</v>
      </c>
      <c r="D5" s="218">
        <v>36</v>
      </c>
      <c r="E5" s="219">
        <v>134</v>
      </c>
    </row>
    <row r="6" spans="1:5" ht="19.5" customHeight="1">
      <c r="A6" s="220" t="s">
        <v>34</v>
      </c>
      <c r="B6" s="221">
        <v>1066</v>
      </c>
      <c r="C6" s="221">
        <v>127</v>
      </c>
      <c r="D6" s="221">
        <v>189</v>
      </c>
      <c r="E6" s="222">
        <v>1382</v>
      </c>
    </row>
    <row r="7" spans="1:5" ht="19.5" customHeight="1">
      <c r="A7" s="220" t="s">
        <v>28</v>
      </c>
      <c r="B7" s="221">
        <v>64</v>
      </c>
      <c r="C7" s="221">
        <v>204</v>
      </c>
      <c r="D7" s="221">
        <v>8</v>
      </c>
      <c r="E7" s="222">
        <v>276</v>
      </c>
    </row>
    <row r="8" spans="1:5" ht="19.5" customHeight="1">
      <c r="A8" s="220" t="s">
        <v>29</v>
      </c>
      <c r="B8" s="221">
        <v>839</v>
      </c>
      <c r="C8" s="221">
        <v>92</v>
      </c>
      <c r="D8" s="221">
        <v>10</v>
      </c>
      <c r="E8" s="222">
        <v>941</v>
      </c>
    </row>
    <row r="9" spans="1:5" ht="19.5" customHeight="1" thickBot="1">
      <c r="A9" s="223" t="s">
        <v>30</v>
      </c>
      <c r="B9" s="224">
        <v>504</v>
      </c>
      <c r="C9" s="224">
        <v>83</v>
      </c>
      <c r="D9" s="224">
        <v>10</v>
      </c>
      <c r="E9" s="225">
        <v>597</v>
      </c>
    </row>
    <row r="10" spans="1:5" ht="19.5" customHeight="1" thickBot="1">
      <c r="A10" s="215" t="s">
        <v>112</v>
      </c>
      <c r="B10" s="216">
        <v>2562</v>
      </c>
      <c r="C10" s="216">
        <v>515</v>
      </c>
      <c r="D10" s="216">
        <v>253</v>
      </c>
      <c r="E10" s="216">
        <v>3330</v>
      </c>
    </row>
    <row r="11" spans="1:5" ht="19.5" customHeight="1" thickBot="1">
      <c r="A11" s="212" t="s">
        <v>85</v>
      </c>
      <c r="B11" s="226">
        <v>76.93693693693693</v>
      </c>
      <c r="C11" s="226">
        <v>15.465465465465465</v>
      </c>
      <c r="D11" s="226">
        <v>7.597597597597598</v>
      </c>
      <c r="E11" s="226">
        <v>100</v>
      </c>
    </row>
    <row r="12" ht="12.75">
      <c r="A12" s="107" t="s">
        <v>93</v>
      </c>
    </row>
    <row r="14" spans="1:7" ht="18.75">
      <c r="A14" s="176" t="s">
        <v>192</v>
      </c>
      <c r="B14" s="176"/>
      <c r="C14" s="176"/>
      <c r="D14" s="176"/>
      <c r="E14" s="176"/>
      <c r="F14" s="176"/>
      <c r="G14" s="176"/>
    </row>
    <row r="15" spans="1:7" ht="6.75" customHeight="1" thickBot="1">
      <c r="A15" s="3"/>
      <c r="B15" s="15"/>
      <c r="C15" s="3"/>
      <c r="D15" s="3"/>
      <c r="E15" s="3"/>
      <c r="F15" s="3"/>
      <c r="G15" s="3"/>
    </row>
    <row r="16" spans="1:7" ht="13.5" thickBot="1">
      <c r="A16" s="242">
        <v>2009</v>
      </c>
      <c r="B16" s="242"/>
      <c r="C16" s="242"/>
      <c r="D16" s="242"/>
      <c r="E16" s="242"/>
      <c r="F16" s="242"/>
      <c r="G16" s="242"/>
    </row>
    <row r="17" spans="1:7" ht="27" customHeight="1" thickBot="1">
      <c r="A17" s="112" t="s">
        <v>191</v>
      </c>
      <c r="B17" s="227" t="s">
        <v>25</v>
      </c>
      <c r="C17" s="177" t="s">
        <v>34</v>
      </c>
      <c r="D17" s="177" t="s">
        <v>29</v>
      </c>
      <c r="E17" s="177" t="s">
        <v>28</v>
      </c>
      <c r="F17" s="177" t="s">
        <v>30</v>
      </c>
      <c r="G17" s="177" t="s">
        <v>0</v>
      </c>
    </row>
    <row r="18" spans="1:7" ht="19.5" customHeight="1">
      <c r="A18" s="142" t="s">
        <v>8</v>
      </c>
      <c r="B18" s="228">
        <v>664</v>
      </c>
      <c r="C18" s="228">
        <v>4017</v>
      </c>
      <c r="D18" s="228">
        <v>724</v>
      </c>
      <c r="E18" s="228">
        <v>466</v>
      </c>
      <c r="F18" s="228">
        <v>307</v>
      </c>
      <c r="G18" s="174">
        <f aca="true" t="shared" si="0" ref="G18:G26">SUM(B18:F18)</f>
        <v>6178</v>
      </c>
    </row>
    <row r="19" spans="1:7" ht="19.5" customHeight="1">
      <c r="A19" s="142" t="s">
        <v>7</v>
      </c>
      <c r="B19" s="228">
        <v>326</v>
      </c>
      <c r="C19" s="228">
        <v>4243</v>
      </c>
      <c r="D19" s="228">
        <v>658</v>
      </c>
      <c r="E19" s="228">
        <v>178</v>
      </c>
      <c r="F19" s="228">
        <v>324</v>
      </c>
      <c r="G19" s="174">
        <f t="shared" si="0"/>
        <v>5729</v>
      </c>
    </row>
    <row r="20" spans="1:7" ht="19.5" customHeight="1">
      <c r="A20" s="142" t="s">
        <v>3</v>
      </c>
      <c r="B20" s="228">
        <v>521</v>
      </c>
      <c r="C20" s="228">
        <v>2168</v>
      </c>
      <c r="D20" s="228">
        <v>467</v>
      </c>
      <c r="E20" s="228">
        <v>220</v>
      </c>
      <c r="F20" s="228">
        <v>205</v>
      </c>
      <c r="G20" s="174">
        <f t="shared" si="0"/>
        <v>3581</v>
      </c>
    </row>
    <row r="21" spans="1:7" ht="19.5" customHeight="1">
      <c r="A21" s="142" t="s">
        <v>6</v>
      </c>
      <c r="B21" s="228">
        <v>91</v>
      </c>
      <c r="C21" s="228">
        <v>2041</v>
      </c>
      <c r="D21" s="228">
        <v>340</v>
      </c>
      <c r="E21" s="228">
        <v>173</v>
      </c>
      <c r="F21" s="228">
        <v>67</v>
      </c>
      <c r="G21" s="174">
        <f t="shared" si="0"/>
        <v>2712</v>
      </c>
    </row>
    <row r="22" spans="1:7" ht="19.5" customHeight="1">
      <c r="A22" s="142" t="s">
        <v>90</v>
      </c>
      <c r="B22" s="228">
        <v>0</v>
      </c>
      <c r="C22" s="228">
        <v>524</v>
      </c>
      <c r="D22" s="228">
        <v>285</v>
      </c>
      <c r="E22" s="228">
        <v>116</v>
      </c>
      <c r="F22" s="228">
        <v>183</v>
      </c>
      <c r="G22" s="174">
        <f t="shared" si="0"/>
        <v>1108</v>
      </c>
    </row>
    <row r="23" spans="1:7" ht="19.5" customHeight="1">
      <c r="A23" s="142" t="s">
        <v>123</v>
      </c>
      <c r="B23" s="228">
        <v>0</v>
      </c>
      <c r="C23" s="228">
        <v>327</v>
      </c>
      <c r="D23" s="228">
        <v>211</v>
      </c>
      <c r="E23" s="228">
        <v>286</v>
      </c>
      <c r="F23" s="228">
        <v>175</v>
      </c>
      <c r="G23" s="174">
        <f t="shared" si="0"/>
        <v>999</v>
      </c>
    </row>
    <row r="24" spans="1:7" ht="19.5" customHeight="1">
      <c r="A24" s="142" t="s">
        <v>9</v>
      </c>
      <c r="B24" s="228">
        <v>357</v>
      </c>
      <c r="C24" s="228">
        <v>379</v>
      </c>
      <c r="D24" s="228">
        <v>61</v>
      </c>
      <c r="E24" s="228">
        <v>36</v>
      </c>
      <c r="F24" s="228">
        <v>17</v>
      </c>
      <c r="G24" s="174">
        <f t="shared" si="0"/>
        <v>850</v>
      </c>
    </row>
    <row r="25" spans="1:7" ht="19.5" customHeight="1">
      <c r="A25" s="142" t="s">
        <v>10</v>
      </c>
      <c r="B25" s="228">
        <v>320</v>
      </c>
      <c r="C25" s="228">
        <v>219</v>
      </c>
      <c r="D25" s="228">
        <v>39</v>
      </c>
      <c r="E25" s="228">
        <v>29</v>
      </c>
      <c r="F25" s="228">
        <v>2</v>
      </c>
      <c r="G25" s="174">
        <f t="shared" si="0"/>
        <v>609</v>
      </c>
    </row>
    <row r="26" spans="1:7" ht="19.5" customHeight="1" thickBot="1">
      <c r="A26" s="142" t="s">
        <v>118</v>
      </c>
      <c r="B26" s="228">
        <v>0</v>
      </c>
      <c r="C26" s="228">
        <v>6</v>
      </c>
      <c r="D26" s="228">
        <v>1</v>
      </c>
      <c r="E26" s="228">
        <v>1</v>
      </c>
      <c r="F26" s="228">
        <v>0</v>
      </c>
      <c r="G26" s="174">
        <f t="shared" si="0"/>
        <v>8</v>
      </c>
    </row>
    <row r="27" spans="1:7" ht="19.5" customHeight="1" thickBot="1">
      <c r="A27" s="128" t="s">
        <v>0</v>
      </c>
      <c r="B27" s="173">
        <f aca="true" t="shared" si="1" ref="B27:G27">SUM(B18:B26)</f>
        <v>2279</v>
      </c>
      <c r="C27" s="173">
        <f t="shared" si="1"/>
        <v>13924</v>
      </c>
      <c r="D27" s="173">
        <f t="shared" si="1"/>
        <v>2786</v>
      </c>
      <c r="E27" s="173">
        <f t="shared" si="1"/>
        <v>1505</v>
      </c>
      <c r="F27" s="173">
        <f t="shared" si="1"/>
        <v>1280</v>
      </c>
      <c r="G27" s="173">
        <f t="shared" si="1"/>
        <v>21774</v>
      </c>
    </row>
    <row r="28" ht="12.75">
      <c r="A28" s="107" t="s">
        <v>93</v>
      </c>
    </row>
  </sheetData>
  <sheetProtection/>
  <mergeCells count="3">
    <mergeCell ref="A3:E3"/>
    <mergeCell ref="A16:G16"/>
    <mergeCell ref="A1:G1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3.7109375" style="6" customWidth="1"/>
    <col min="3" max="3" width="18.28125" style="16" customWidth="1"/>
    <col min="4" max="16" width="8.7109375" style="3" customWidth="1"/>
    <col min="17" max="16384" width="9.140625" style="3" customWidth="1"/>
  </cols>
  <sheetData>
    <row r="1" spans="1:16" ht="19.5" customHeight="1">
      <c r="A1" s="176" t="s">
        <v>156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3" s="7" customFormat="1" ht="6.75" customHeight="1" thickBot="1">
      <c r="A2" s="9"/>
      <c r="B2" s="14"/>
      <c r="C2" s="18"/>
    </row>
    <row r="3" spans="4:16" ht="13.5" customHeight="1" thickBot="1">
      <c r="D3" s="242">
        <v>2009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</row>
    <row r="4" spans="4:16" ht="13.5" customHeight="1" thickBot="1">
      <c r="D4" s="172" t="s">
        <v>149</v>
      </c>
      <c r="E4" s="172" t="s">
        <v>150</v>
      </c>
      <c r="F4" s="172" t="s">
        <v>14</v>
      </c>
      <c r="G4" s="172" t="s">
        <v>15</v>
      </c>
      <c r="H4" s="172" t="s">
        <v>16</v>
      </c>
      <c r="I4" s="172" t="s">
        <v>17</v>
      </c>
      <c r="J4" s="172" t="s">
        <v>18</v>
      </c>
      <c r="K4" s="172" t="s">
        <v>151</v>
      </c>
      <c r="L4" s="172" t="s">
        <v>152</v>
      </c>
      <c r="M4" s="172" t="s">
        <v>153</v>
      </c>
      <c r="N4" s="172" t="s">
        <v>154</v>
      </c>
      <c r="O4" s="172" t="s">
        <v>155</v>
      </c>
      <c r="P4" s="172" t="s">
        <v>24</v>
      </c>
    </row>
    <row r="5" spans="1:16" ht="13.5" customHeight="1" thickBot="1">
      <c r="A5" s="233" t="s">
        <v>44</v>
      </c>
      <c r="B5" s="236" t="s">
        <v>126</v>
      </c>
      <c r="C5" s="30" t="s">
        <v>83</v>
      </c>
      <c r="D5" s="52">
        <f aca="true" t="shared" si="0" ref="D5:O5">SUM(D6:D14)</f>
        <v>5202</v>
      </c>
      <c r="E5" s="52">
        <f t="shared" si="0"/>
        <v>5769</v>
      </c>
      <c r="F5" s="52">
        <f t="shared" si="0"/>
        <v>7099</v>
      </c>
      <c r="G5" s="52">
        <f t="shared" si="0"/>
        <v>5959</v>
      </c>
      <c r="H5" s="52">
        <f t="shared" si="0"/>
        <v>6794</v>
      </c>
      <c r="I5" s="52">
        <f t="shared" si="0"/>
        <v>6802</v>
      </c>
      <c r="J5" s="52">
        <f t="shared" si="0"/>
        <v>8499</v>
      </c>
      <c r="K5" s="52">
        <f t="shared" si="0"/>
        <v>8576</v>
      </c>
      <c r="L5" s="52">
        <f t="shared" si="0"/>
        <v>8078</v>
      </c>
      <c r="M5" s="52">
        <f t="shared" si="0"/>
        <v>9623</v>
      </c>
      <c r="N5" s="52">
        <f t="shared" si="0"/>
        <v>7987</v>
      </c>
      <c r="O5" s="52">
        <f t="shared" si="0"/>
        <v>13658</v>
      </c>
      <c r="P5" s="173">
        <f aca="true" t="shared" si="1" ref="P5:P24">SUM(D5:O5)</f>
        <v>94046</v>
      </c>
    </row>
    <row r="6" spans="1:16" s="10" customFormat="1" ht="11.25" customHeight="1">
      <c r="A6" s="234"/>
      <c r="B6" s="237"/>
      <c r="C6" s="51" t="s">
        <v>125</v>
      </c>
      <c r="D6" s="37">
        <f>128+1032+3+34</f>
        <v>1197</v>
      </c>
      <c r="E6" s="37">
        <f>150+1318+1+7+32</f>
        <v>1508</v>
      </c>
      <c r="F6" s="37">
        <f>151+1485+4+1+5+50</f>
        <v>1696</v>
      </c>
      <c r="G6" s="37">
        <f>144+1284+1+2+37</f>
        <v>1468</v>
      </c>
      <c r="H6" s="37">
        <f>153+1547+3+4+70+1</f>
        <v>1778</v>
      </c>
      <c r="I6" s="37">
        <f>114+1+1541+3+4+6+73</f>
        <v>1742</v>
      </c>
      <c r="J6" s="37">
        <f>176+1+1839+2+1+6+87+1+1</f>
        <v>2114</v>
      </c>
      <c r="K6" s="37">
        <f>156+1892+3+4+73</f>
        <v>2128</v>
      </c>
      <c r="L6" s="37">
        <f>152+1769+3+4+77+1</f>
        <v>2006</v>
      </c>
      <c r="M6" s="37">
        <f>177+2037+5+4+86</f>
        <v>2309</v>
      </c>
      <c r="N6" s="37">
        <f>149+2+1741+3+4+55</f>
        <v>1954</v>
      </c>
      <c r="O6" s="37">
        <f>237+3201+1+11+293</f>
        <v>3743</v>
      </c>
      <c r="P6" s="174">
        <f t="shared" si="1"/>
        <v>23643</v>
      </c>
    </row>
    <row r="7" spans="1:16" s="8" customFormat="1" ht="11.25" customHeight="1">
      <c r="A7" s="234"/>
      <c r="B7" s="237"/>
      <c r="C7" s="48" t="s">
        <v>128</v>
      </c>
      <c r="D7" s="35">
        <f>56+513+1+1+6+23+4</f>
        <v>604</v>
      </c>
      <c r="E7" s="35">
        <f>73+631+3+2+24+2</f>
        <v>735</v>
      </c>
      <c r="F7" s="35">
        <f>102+795+1+2+27+3</f>
        <v>930</v>
      </c>
      <c r="G7" s="35">
        <f>79+625+1+6+18+2</f>
        <v>731</v>
      </c>
      <c r="H7" s="35">
        <f>59+1+745+3+27+2</f>
        <v>837</v>
      </c>
      <c r="I7" s="35">
        <f>82+758+2+1+5+32</f>
        <v>880</v>
      </c>
      <c r="J7" s="35">
        <f>102+980+4+1+4+47+3</f>
        <v>1141</v>
      </c>
      <c r="K7" s="35">
        <f>75+963+1+1+5+33</f>
        <v>1078</v>
      </c>
      <c r="L7" s="35">
        <f>100+1072+3+34</f>
        <v>1209</v>
      </c>
      <c r="M7" s="35">
        <f>88+1169+2+2+34</f>
        <v>1295</v>
      </c>
      <c r="N7" s="35">
        <f>70+939+2+4+23</f>
        <v>1038</v>
      </c>
      <c r="O7" s="35">
        <f>130+1798+2+5+57+3</f>
        <v>1995</v>
      </c>
      <c r="P7" s="24">
        <f t="shared" si="1"/>
        <v>12473</v>
      </c>
    </row>
    <row r="8" spans="1:16" s="8" customFormat="1" ht="11.25" customHeight="1">
      <c r="A8" s="234"/>
      <c r="B8" s="237"/>
      <c r="C8" s="47" t="s">
        <v>127</v>
      </c>
      <c r="D8" s="35">
        <f>70+5+470+1+2+2+9</f>
        <v>559</v>
      </c>
      <c r="E8" s="35">
        <f>47+538+2+5+14+16</f>
        <v>622</v>
      </c>
      <c r="F8" s="35">
        <f>74+645+1+7+201</f>
        <v>928</v>
      </c>
      <c r="G8" s="35">
        <f>46+572+2+8+18</f>
        <v>646</v>
      </c>
      <c r="H8" s="35">
        <f>50+713+2+1+8+16</f>
        <v>790</v>
      </c>
      <c r="I8" s="35">
        <f>56+2+725+2+8+14</f>
        <v>807</v>
      </c>
      <c r="J8" s="35">
        <f>97+1+807+7+27+3</f>
        <v>942</v>
      </c>
      <c r="K8" s="35">
        <f>51+897+2+3+24</f>
        <v>977</v>
      </c>
      <c r="L8" s="35">
        <f>54+922+2+1+3+15</f>
        <v>997</v>
      </c>
      <c r="M8" s="35">
        <f>109+973+4+2+4+26+1</f>
        <v>1119</v>
      </c>
      <c r="N8" s="35">
        <f>61+856+2+5+27</f>
        <v>951</v>
      </c>
      <c r="O8" s="35">
        <f>78+1537+2+11+44+1</f>
        <v>1673</v>
      </c>
      <c r="P8" s="24">
        <f t="shared" si="1"/>
        <v>11011</v>
      </c>
    </row>
    <row r="9" spans="1:16" s="8" customFormat="1" ht="11.25" customHeight="1">
      <c r="A9" s="234"/>
      <c r="B9" s="237"/>
      <c r="C9" s="47" t="s">
        <v>129</v>
      </c>
      <c r="D9" s="35">
        <f>75+480+2+1+8+1</f>
        <v>567</v>
      </c>
      <c r="E9" s="35">
        <f>98+2+536+5+1</f>
        <v>642</v>
      </c>
      <c r="F9" s="35">
        <f>85+562+1+1+41</f>
        <v>690</v>
      </c>
      <c r="G9" s="35">
        <f>90+2+415+6+7</f>
        <v>520</v>
      </c>
      <c r="H9" s="35">
        <f>77+1+438+1+5+8</f>
        <v>530</v>
      </c>
      <c r="I9" s="35">
        <f>90+1+615+4+5</f>
        <v>715</v>
      </c>
      <c r="J9" s="35">
        <f>122+4+685+4+11</f>
        <v>826</v>
      </c>
      <c r="K9" s="35">
        <f>93+1+693+1+2+8+1</f>
        <v>799</v>
      </c>
      <c r="L9" s="35">
        <f>79+1+511+2+2+4</f>
        <v>599</v>
      </c>
      <c r="M9" s="35">
        <f>105+4+803+1+2+7</f>
        <v>922</v>
      </c>
      <c r="N9" s="35">
        <f>94+640+1+7</f>
        <v>742</v>
      </c>
      <c r="O9" s="35">
        <f>134+974+1+9+7</f>
        <v>1125</v>
      </c>
      <c r="P9" s="24">
        <f t="shared" si="1"/>
        <v>8677</v>
      </c>
    </row>
    <row r="10" spans="1:16" s="8" customFormat="1" ht="11.25" customHeight="1">
      <c r="A10" s="234"/>
      <c r="B10" s="237"/>
      <c r="C10" s="47" t="s">
        <v>28</v>
      </c>
      <c r="D10" s="35">
        <f>78+8+416+2+1+2+2</f>
        <v>509</v>
      </c>
      <c r="E10" s="35">
        <f>37+2+406+2</f>
        <v>447</v>
      </c>
      <c r="F10" s="35">
        <f>84+7+564+5+12</f>
        <v>672</v>
      </c>
      <c r="G10" s="35">
        <f>76+479+5+6+1</f>
        <v>567</v>
      </c>
      <c r="H10" s="35">
        <f>83+4+509+2+1+2</f>
        <v>601</v>
      </c>
      <c r="I10" s="35">
        <f>84+4+535+1+2+1</f>
        <v>627</v>
      </c>
      <c r="J10" s="35">
        <f>95+3+722+5+13</f>
        <v>838</v>
      </c>
      <c r="K10" s="35">
        <f>105+6+758+3+1</f>
        <v>873</v>
      </c>
      <c r="L10" s="35">
        <f>82+3+646+2+1+2</f>
        <v>736</v>
      </c>
      <c r="M10" s="35">
        <f>109+743+1+1+2+1</f>
        <v>857</v>
      </c>
      <c r="N10" s="35">
        <f>95+5+576+3+4</f>
        <v>683</v>
      </c>
      <c r="O10" s="35">
        <f>157+4+886+2+8</f>
        <v>1057</v>
      </c>
      <c r="P10" s="24">
        <f t="shared" si="1"/>
        <v>8467</v>
      </c>
    </row>
    <row r="11" spans="1:16" s="8" customFormat="1" ht="11.25" customHeight="1">
      <c r="A11" s="234"/>
      <c r="B11" s="237"/>
      <c r="C11" s="47" t="s">
        <v>25</v>
      </c>
      <c r="D11" s="35">
        <f>78+352+2+20</f>
        <v>452</v>
      </c>
      <c r="E11" s="35">
        <f>88+343+1+2+13</f>
        <v>447</v>
      </c>
      <c r="F11" s="35">
        <f>102+447+1+1+2+24</f>
        <v>577</v>
      </c>
      <c r="G11" s="35">
        <f>87+409+3+5+31</f>
        <v>535</v>
      </c>
      <c r="H11" s="35">
        <f>88+530+1+1+37</f>
        <v>657</v>
      </c>
      <c r="I11" s="35">
        <f>89+440+1+32</f>
        <v>562</v>
      </c>
      <c r="J11" s="35">
        <f>101+529+2+6+33</f>
        <v>671</v>
      </c>
      <c r="K11" s="35">
        <f>79+529+1+3+35+1</f>
        <v>648</v>
      </c>
      <c r="L11" s="35">
        <f>105+483+5+1+2+32</f>
        <v>628</v>
      </c>
      <c r="M11" s="35">
        <f>113+646+2+37</f>
        <v>798</v>
      </c>
      <c r="N11" s="35">
        <f>81+651+1+2+40</f>
        <v>775</v>
      </c>
      <c r="O11" s="35">
        <f>126+1260+2+7+81</f>
        <v>1476</v>
      </c>
      <c r="P11" s="24">
        <f t="shared" si="1"/>
        <v>8226</v>
      </c>
    </row>
    <row r="12" spans="1:16" s="8" customFormat="1" ht="11.25" customHeight="1">
      <c r="A12" s="234"/>
      <c r="B12" s="237"/>
      <c r="C12" s="47" t="s">
        <v>29</v>
      </c>
      <c r="D12" s="35">
        <f>51+438+1+4</f>
        <v>494</v>
      </c>
      <c r="E12" s="35">
        <f>60+456+2+8</f>
        <v>526</v>
      </c>
      <c r="F12" s="35">
        <f>71+561+13</f>
        <v>645</v>
      </c>
      <c r="G12" s="35">
        <f>62+535+10+1</f>
        <v>608</v>
      </c>
      <c r="H12" s="35">
        <f>42+602+2+8+3</f>
        <v>657</v>
      </c>
      <c r="I12" s="35">
        <f>49+557+4</f>
        <v>610</v>
      </c>
      <c r="J12" s="35">
        <f>70+727+3+10</f>
        <v>810</v>
      </c>
      <c r="K12" s="35">
        <f>77+704+1+11+2</f>
        <v>795</v>
      </c>
      <c r="L12" s="35">
        <f>62+1+561+2+7</f>
        <v>633</v>
      </c>
      <c r="M12" s="35">
        <f>67+697+18</f>
        <v>782</v>
      </c>
      <c r="N12" s="35">
        <f>27+12+649+12</f>
        <v>700</v>
      </c>
      <c r="O12" s="35">
        <f>50+29+829+2+1+9</f>
        <v>920</v>
      </c>
      <c r="P12" s="24">
        <f t="shared" si="1"/>
        <v>8180</v>
      </c>
    </row>
    <row r="13" spans="1:16" s="8" customFormat="1" ht="11.25" customHeight="1">
      <c r="A13" s="234"/>
      <c r="B13" s="237"/>
      <c r="C13" s="47" t="s">
        <v>130</v>
      </c>
      <c r="D13" s="35">
        <f>69+412+1</f>
        <v>482</v>
      </c>
      <c r="E13" s="35">
        <f>57+379+13</f>
        <v>449</v>
      </c>
      <c r="F13" s="35">
        <f>67+430+2+13+2+2</f>
        <v>516</v>
      </c>
      <c r="G13" s="35">
        <f>63+2+413+3+9+1</f>
        <v>491</v>
      </c>
      <c r="H13" s="35">
        <f>66+436+12+5+2</f>
        <v>521</v>
      </c>
      <c r="I13" s="35">
        <f>62+390+1+6+1</f>
        <v>460</v>
      </c>
      <c r="J13" s="35">
        <f>58+524+1+9+9+1</f>
        <v>602</v>
      </c>
      <c r="K13" s="35">
        <f>56+626+1+3</f>
        <v>686</v>
      </c>
      <c r="L13" s="35">
        <f>70+593+3+9+4</f>
        <v>679</v>
      </c>
      <c r="M13" s="35">
        <f>117+744+1+10+2+1</f>
        <v>875</v>
      </c>
      <c r="N13" s="35">
        <f>66+589+2+5+1</f>
        <v>663</v>
      </c>
      <c r="O13" s="35">
        <f>118+899+3+2+9+4</f>
        <v>1035</v>
      </c>
      <c r="P13" s="24">
        <f t="shared" si="1"/>
        <v>7459</v>
      </c>
    </row>
    <row r="14" spans="1:16" s="8" customFormat="1" ht="11.25" customHeight="1" thickBot="1">
      <c r="A14" s="234"/>
      <c r="B14" s="237"/>
      <c r="C14" s="49" t="s">
        <v>30</v>
      </c>
      <c r="D14" s="50">
        <f>37+300+1</f>
        <v>338</v>
      </c>
      <c r="E14" s="50">
        <f>38+354+1</f>
        <v>393</v>
      </c>
      <c r="F14" s="50">
        <f>55+389+1</f>
        <v>445</v>
      </c>
      <c r="G14" s="50">
        <f>46+347</f>
        <v>393</v>
      </c>
      <c r="H14" s="50">
        <f>41+382</f>
        <v>423</v>
      </c>
      <c r="I14" s="50">
        <f>47+347+1+2+2</f>
        <v>399</v>
      </c>
      <c r="J14" s="50">
        <f>59+494+1+1</f>
        <v>555</v>
      </c>
      <c r="K14" s="50">
        <f>68+523+1</f>
        <v>592</v>
      </c>
      <c r="L14" s="50">
        <f>69+522</f>
        <v>591</v>
      </c>
      <c r="M14" s="50">
        <f>71+1+592+2</f>
        <v>666</v>
      </c>
      <c r="N14" s="50">
        <f>51+426+4</f>
        <v>481</v>
      </c>
      <c r="O14" s="50">
        <f>73+560+1</f>
        <v>634</v>
      </c>
      <c r="P14" s="159">
        <f t="shared" si="1"/>
        <v>5910</v>
      </c>
    </row>
    <row r="15" spans="1:16" s="8" customFormat="1" ht="11.25" customHeight="1" thickBot="1">
      <c r="A15" s="234"/>
      <c r="B15" s="237"/>
      <c r="C15" s="53" t="s">
        <v>173</v>
      </c>
      <c r="D15" s="52">
        <f>SUM(D16:D24)</f>
        <v>435662</v>
      </c>
      <c r="E15" s="52">
        <f aca="true" t="shared" si="2" ref="E15:O15">SUM(E16:E24)</f>
        <v>487232</v>
      </c>
      <c r="F15" s="52">
        <f t="shared" si="2"/>
        <v>587194</v>
      </c>
      <c r="G15" s="52">
        <f t="shared" si="2"/>
        <v>551472</v>
      </c>
      <c r="H15" s="52">
        <f t="shared" si="2"/>
        <v>728822</v>
      </c>
      <c r="I15" s="52">
        <f t="shared" si="2"/>
        <v>852225</v>
      </c>
      <c r="J15" s="52">
        <f t="shared" si="2"/>
        <v>901857</v>
      </c>
      <c r="K15" s="52">
        <f t="shared" si="2"/>
        <v>954443</v>
      </c>
      <c r="L15" s="52">
        <f t="shared" si="2"/>
        <v>916531</v>
      </c>
      <c r="M15" s="52">
        <f t="shared" si="2"/>
        <v>1098197</v>
      </c>
      <c r="N15" s="52">
        <f t="shared" si="2"/>
        <v>1056429</v>
      </c>
      <c r="O15" s="52">
        <f t="shared" si="2"/>
        <v>1867475</v>
      </c>
      <c r="P15" s="173">
        <f t="shared" si="1"/>
        <v>10437539</v>
      </c>
    </row>
    <row r="16" spans="1:16" s="8" customFormat="1" ht="11.25" customHeight="1">
      <c r="A16" s="234"/>
      <c r="B16" s="237"/>
      <c r="C16" s="51" t="s">
        <v>25</v>
      </c>
      <c r="D16" s="39">
        <v>114539</v>
      </c>
      <c r="E16" s="39">
        <v>135015</v>
      </c>
      <c r="F16" s="39">
        <v>147797</v>
      </c>
      <c r="G16" s="39">
        <v>167133</v>
      </c>
      <c r="H16" s="39">
        <v>238156</v>
      </c>
      <c r="I16" s="39">
        <v>321297</v>
      </c>
      <c r="J16" s="39">
        <v>231800</v>
      </c>
      <c r="K16" s="39">
        <v>253932</v>
      </c>
      <c r="L16" s="39">
        <v>245864</v>
      </c>
      <c r="M16" s="39">
        <v>271266</v>
      </c>
      <c r="N16" s="39">
        <v>342530</v>
      </c>
      <c r="O16" s="39">
        <v>673195</v>
      </c>
      <c r="P16" s="156">
        <f t="shared" si="1"/>
        <v>3142524</v>
      </c>
    </row>
    <row r="17" spans="1:16" s="8" customFormat="1" ht="11.25" customHeight="1">
      <c r="A17" s="234"/>
      <c r="B17" s="237"/>
      <c r="C17" s="47" t="s">
        <v>125</v>
      </c>
      <c r="D17" s="35">
        <v>107563</v>
      </c>
      <c r="E17" s="35">
        <v>112601</v>
      </c>
      <c r="F17" s="35">
        <v>139236</v>
      </c>
      <c r="G17" s="35">
        <v>117515</v>
      </c>
      <c r="H17" s="35">
        <v>152839</v>
      </c>
      <c r="I17" s="35">
        <v>173364</v>
      </c>
      <c r="J17" s="35">
        <v>227305</v>
      </c>
      <c r="K17" s="35">
        <v>237874</v>
      </c>
      <c r="L17" s="35">
        <v>227094</v>
      </c>
      <c r="M17" s="35">
        <v>292552</v>
      </c>
      <c r="N17" s="35">
        <v>235746</v>
      </c>
      <c r="O17" s="35">
        <v>416304</v>
      </c>
      <c r="P17" s="24">
        <f t="shared" si="1"/>
        <v>2439993</v>
      </c>
    </row>
    <row r="18" spans="1:16" s="8" customFormat="1" ht="11.25" customHeight="1">
      <c r="A18" s="234"/>
      <c r="B18" s="237"/>
      <c r="C18" s="48" t="s">
        <v>128</v>
      </c>
      <c r="D18" s="35">
        <v>75762</v>
      </c>
      <c r="E18" s="35">
        <v>89697</v>
      </c>
      <c r="F18" s="35">
        <v>117812</v>
      </c>
      <c r="G18" s="35">
        <v>97799</v>
      </c>
      <c r="H18" s="35">
        <v>137195</v>
      </c>
      <c r="I18" s="35">
        <v>133831</v>
      </c>
      <c r="J18" s="35">
        <v>178111</v>
      </c>
      <c r="K18" s="35">
        <v>180905</v>
      </c>
      <c r="L18" s="35">
        <v>212515</v>
      </c>
      <c r="M18" s="35">
        <v>221336</v>
      </c>
      <c r="N18" s="35">
        <v>165709</v>
      </c>
      <c r="O18" s="35">
        <v>352979</v>
      </c>
      <c r="P18" s="24">
        <f t="shared" si="1"/>
        <v>1963651</v>
      </c>
    </row>
    <row r="19" spans="1:16" ht="11.25" customHeight="1">
      <c r="A19" s="234"/>
      <c r="B19" s="237"/>
      <c r="C19" s="47" t="s">
        <v>127</v>
      </c>
      <c r="D19" s="35">
        <v>49881</v>
      </c>
      <c r="E19" s="35">
        <v>58221</v>
      </c>
      <c r="F19" s="35">
        <v>70385</v>
      </c>
      <c r="G19" s="35">
        <v>61826</v>
      </c>
      <c r="H19" s="35">
        <v>75657</v>
      </c>
      <c r="I19" s="35">
        <v>92433</v>
      </c>
      <c r="J19" s="35">
        <v>116442</v>
      </c>
      <c r="K19" s="35">
        <v>104694</v>
      </c>
      <c r="L19" s="35">
        <v>99832</v>
      </c>
      <c r="M19" s="35">
        <v>122416</v>
      </c>
      <c r="N19" s="35">
        <v>159087</v>
      </c>
      <c r="O19" s="35">
        <v>213767</v>
      </c>
      <c r="P19" s="24">
        <f t="shared" si="1"/>
        <v>1224641</v>
      </c>
    </row>
    <row r="20" spans="1:16" ht="11.25" customHeight="1">
      <c r="A20" s="234"/>
      <c r="B20" s="237"/>
      <c r="C20" s="47" t="s">
        <v>29</v>
      </c>
      <c r="D20" s="35">
        <v>22676</v>
      </c>
      <c r="E20" s="35">
        <v>24953</v>
      </c>
      <c r="F20" s="35">
        <v>34302</v>
      </c>
      <c r="G20" s="35">
        <v>35226</v>
      </c>
      <c r="H20" s="35">
        <v>33723</v>
      </c>
      <c r="I20" s="35">
        <v>52348</v>
      </c>
      <c r="J20" s="35">
        <v>37720</v>
      </c>
      <c r="K20" s="35">
        <v>51498</v>
      </c>
      <c r="L20" s="35">
        <v>33907</v>
      </c>
      <c r="M20" s="35">
        <v>37323</v>
      </c>
      <c r="N20" s="35">
        <v>38384</v>
      </c>
      <c r="O20" s="35">
        <v>48251</v>
      </c>
      <c r="P20" s="24">
        <f t="shared" si="1"/>
        <v>450311</v>
      </c>
    </row>
    <row r="21" spans="1:16" ht="11.25" customHeight="1">
      <c r="A21" s="234"/>
      <c r="B21" s="237"/>
      <c r="C21" s="47" t="s">
        <v>129</v>
      </c>
      <c r="D21" s="35">
        <v>29556</v>
      </c>
      <c r="E21" s="35">
        <v>29930</v>
      </c>
      <c r="F21" s="35">
        <v>26978</v>
      </c>
      <c r="G21" s="35">
        <v>22056</v>
      </c>
      <c r="H21" s="35">
        <v>27645</v>
      </c>
      <c r="I21" s="35">
        <v>31704</v>
      </c>
      <c r="J21" s="35">
        <v>43336</v>
      </c>
      <c r="K21" s="35">
        <v>48486</v>
      </c>
      <c r="L21" s="35">
        <v>31228</v>
      </c>
      <c r="M21" s="35">
        <v>54757</v>
      </c>
      <c r="N21" s="35">
        <v>37994</v>
      </c>
      <c r="O21" s="35">
        <v>60967</v>
      </c>
      <c r="P21" s="24">
        <f t="shared" si="1"/>
        <v>444637</v>
      </c>
    </row>
    <row r="22" spans="1:16" ht="11.25" customHeight="1">
      <c r="A22" s="234"/>
      <c r="B22" s="237"/>
      <c r="C22" s="47" t="s">
        <v>28</v>
      </c>
      <c r="D22" s="35">
        <v>14229</v>
      </c>
      <c r="E22" s="35">
        <v>12648</v>
      </c>
      <c r="F22" s="35">
        <v>19860</v>
      </c>
      <c r="G22" s="35">
        <v>22190</v>
      </c>
      <c r="H22" s="35">
        <v>22914</v>
      </c>
      <c r="I22" s="35">
        <v>17846</v>
      </c>
      <c r="J22" s="35">
        <v>28028</v>
      </c>
      <c r="K22" s="35">
        <v>30561</v>
      </c>
      <c r="L22" s="35">
        <v>22177</v>
      </c>
      <c r="M22" s="35">
        <v>36680</v>
      </c>
      <c r="N22" s="35">
        <v>28242</v>
      </c>
      <c r="O22" s="35">
        <v>41647</v>
      </c>
      <c r="P22" s="24">
        <f t="shared" si="1"/>
        <v>297022</v>
      </c>
    </row>
    <row r="23" spans="1:16" ht="11.25" customHeight="1">
      <c r="A23" s="234"/>
      <c r="B23" s="237"/>
      <c r="C23" s="47" t="s">
        <v>130</v>
      </c>
      <c r="D23" s="35">
        <v>12144</v>
      </c>
      <c r="E23" s="35">
        <v>12871</v>
      </c>
      <c r="F23" s="35">
        <v>16429</v>
      </c>
      <c r="G23" s="35">
        <v>15981</v>
      </c>
      <c r="H23" s="35">
        <v>25862</v>
      </c>
      <c r="I23" s="35">
        <v>17232</v>
      </c>
      <c r="J23" s="35">
        <v>21015</v>
      </c>
      <c r="K23" s="35">
        <v>28647</v>
      </c>
      <c r="L23" s="35">
        <v>25789</v>
      </c>
      <c r="M23" s="35">
        <v>35262</v>
      </c>
      <c r="N23" s="35">
        <v>29441</v>
      </c>
      <c r="O23" s="35">
        <v>36621</v>
      </c>
      <c r="P23" s="24">
        <f t="shared" si="1"/>
        <v>277294</v>
      </c>
    </row>
    <row r="24" spans="1:16" ht="11.25" customHeight="1" thickBot="1">
      <c r="A24" s="234"/>
      <c r="B24" s="238"/>
      <c r="C24" s="49" t="s">
        <v>30</v>
      </c>
      <c r="D24" s="50">
        <v>9312</v>
      </c>
      <c r="E24" s="50">
        <v>11296</v>
      </c>
      <c r="F24" s="50">
        <v>14395</v>
      </c>
      <c r="G24" s="50">
        <v>11746</v>
      </c>
      <c r="H24" s="50">
        <v>14831</v>
      </c>
      <c r="I24" s="50">
        <v>12170</v>
      </c>
      <c r="J24" s="50">
        <v>18100</v>
      </c>
      <c r="K24" s="50">
        <v>17846</v>
      </c>
      <c r="L24" s="50">
        <v>18125</v>
      </c>
      <c r="M24" s="50">
        <v>26605</v>
      </c>
      <c r="N24" s="50">
        <v>19296</v>
      </c>
      <c r="O24" s="50">
        <v>23744</v>
      </c>
      <c r="P24" s="159">
        <f t="shared" si="1"/>
        <v>197466</v>
      </c>
    </row>
    <row r="25" spans="1:16" ht="11.25" customHeight="1" thickBot="1">
      <c r="A25" s="234"/>
      <c r="B25" s="239" t="s">
        <v>131</v>
      </c>
      <c r="C25" s="30" t="s">
        <v>83</v>
      </c>
      <c r="D25" s="52">
        <f>SUM(D26:D34)</f>
        <v>608</v>
      </c>
      <c r="E25" s="52">
        <f aca="true" t="shared" si="3" ref="E25:P25">SUM(E26:E34)</f>
        <v>648</v>
      </c>
      <c r="F25" s="52">
        <f t="shared" si="3"/>
        <v>857</v>
      </c>
      <c r="G25" s="52">
        <f t="shared" si="3"/>
        <v>724</v>
      </c>
      <c r="H25" s="52">
        <f t="shared" si="3"/>
        <v>877</v>
      </c>
      <c r="I25" s="52">
        <f t="shared" si="3"/>
        <v>963</v>
      </c>
      <c r="J25" s="52">
        <f t="shared" si="3"/>
        <v>1064</v>
      </c>
      <c r="K25" s="52">
        <f t="shared" si="3"/>
        <v>1069</v>
      </c>
      <c r="L25" s="52">
        <f t="shared" si="3"/>
        <v>1102</v>
      </c>
      <c r="M25" s="52">
        <f t="shared" si="3"/>
        <v>1242</v>
      </c>
      <c r="N25" s="52">
        <f t="shared" si="3"/>
        <v>1061</v>
      </c>
      <c r="O25" s="52">
        <f t="shared" si="3"/>
        <v>1646</v>
      </c>
      <c r="P25" s="52">
        <f t="shared" si="3"/>
        <v>11861</v>
      </c>
    </row>
    <row r="26" spans="1:16" ht="11.25" customHeight="1">
      <c r="A26" s="234"/>
      <c r="B26" s="240"/>
      <c r="C26" s="51" t="s">
        <v>125</v>
      </c>
      <c r="D26" s="39">
        <v>173</v>
      </c>
      <c r="E26" s="39">
        <v>189</v>
      </c>
      <c r="F26" s="39">
        <v>243</v>
      </c>
      <c r="G26" s="39">
        <v>219</v>
      </c>
      <c r="H26" s="39">
        <v>244</v>
      </c>
      <c r="I26" s="39">
        <v>289</v>
      </c>
      <c r="J26" s="39">
        <v>322</v>
      </c>
      <c r="K26" s="39">
        <v>359</v>
      </c>
      <c r="L26" s="39">
        <v>352</v>
      </c>
      <c r="M26" s="39">
        <v>345</v>
      </c>
      <c r="N26" s="39">
        <v>316</v>
      </c>
      <c r="O26" s="39">
        <v>484</v>
      </c>
      <c r="P26" s="156">
        <f aca="true" t="shared" si="4" ref="P26:P34">SUM(D26:O26)</f>
        <v>3535</v>
      </c>
    </row>
    <row r="27" spans="1:16" ht="11.25" customHeight="1">
      <c r="A27" s="234"/>
      <c r="B27" s="240"/>
      <c r="C27" s="48" t="s">
        <v>128</v>
      </c>
      <c r="D27" s="35">
        <v>148</v>
      </c>
      <c r="E27" s="35">
        <v>141</v>
      </c>
      <c r="F27" s="35">
        <v>190</v>
      </c>
      <c r="G27" s="35">
        <v>156</v>
      </c>
      <c r="H27" s="35">
        <v>202</v>
      </c>
      <c r="I27" s="35">
        <v>213</v>
      </c>
      <c r="J27" s="35">
        <v>273</v>
      </c>
      <c r="K27" s="35">
        <v>250</v>
      </c>
      <c r="L27" s="35">
        <v>277</v>
      </c>
      <c r="M27" s="35">
        <v>320</v>
      </c>
      <c r="N27" s="35">
        <v>253</v>
      </c>
      <c r="O27" s="35">
        <v>413</v>
      </c>
      <c r="P27" s="24">
        <f t="shared" si="4"/>
        <v>2836</v>
      </c>
    </row>
    <row r="28" spans="1:16" ht="11.25" customHeight="1">
      <c r="A28" s="234"/>
      <c r="B28" s="240"/>
      <c r="C28" s="47" t="s">
        <v>127</v>
      </c>
      <c r="D28" s="35">
        <v>114</v>
      </c>
      <c r="E28" s="35">
        <v>116</v>
      </c>
      <c r="F28" s="35">
        <v>148</v>
      </c>
      <c r="G28" s="35">
        <v>130</v>
      </c>
      <c r="H28" s="35">
        <v>158</v>
      </c>
      <c r="I28" s="35">
        <v>159</v>
      </c>
      <c r="J28" s="35">
        <v>159</v>
      </c>
      <c r="K28" s="35">
        <v>166</v>
      </c>
      <c r="L28" s="35">
        <v>163</v>
      </c>
      <c r="M28" s="35">
        <v>176</v>
      </c>
      <c r="N28" s="35">
        <v>166</v>
      </c>
      <c r="O28" s="35">
        <v>272</v>
      </c>
      <c r="P28" s="24">
        <f t="shared" si="4"/>
        <v>1927</v>
      </c>
    </row>
    <row r="29" spans="1:16" ht="11.25" customHeight="1">
      <c r="A29" s="234"/>
      <c r="B29" s="240"/>
      <c r="C29" s="47" t="s">
        <v>25</v>
      </c>
      <c r="D29" s="35">
        <v>34</v>
      </c>
      <c r="E29" s="35">
        <v>51</v>
      </c>
      <c r="F29" s="35">
        <v>67</v>
      </c>
      <c r="G29" s="35">
        <v>36</v>
      </c>
      <c r="H29" s="35">
        <v>64</v>
      </c>
      <c r="I29" s="35">
        <v>71</v>
      </c>
      <c r="J29" s="35">
        <v>71</v>
      </c>
      <c r="K29" s="35">
        <v>68</v>
      </c>
      <c r="L29" s="35">
        <v>62</v>
      </c>
      <c r="M29" s="35">
        <v>132</v>
      </c>
      <c r="N29" s="35">
        <v>80</v>
      </c>
      <c r="O29" s="35">
        <v>125</v>
      </c>
      <c r="P29" s="24">
        <f t="shared" si="4"/>
        <v>861</v>
      </c>
    </row>
    <row r="30" spans="1:16" ht="11.25" customHeight="1">
      <c r="A30" s="234"/>
      <c r="B30" s="240"/>
      <c r="C30" s="47" t="s">
        <v>129</v>
      </c>
      <c r="D30" s="35">
        <v>31</v>
      </c>
      <c r="E30" s="35">
        <v>51</v>
      </c>
      <c r="F30" s="35">
        <v>60</v>
      </c>
      <c r="G30" s="35">
        <v>36</v>
      </c>
      <c r="H30" s="35">
        <v>65</v>
      </c>
      <c r="I30" s="35">
        <v>74</v>
      </c>
      <c r="J30" s="35">
        <v>58</v>
      </c>
      <c r="K30" s="35">
        <v>71</v>
      </c>
      <c r="L30" s="35">
        <v>48</v>
      </c>
      <c r="M30" s="35">
        <v>66</v>
      </c>
      <c r="N30" s="35">
        <v>67</v>
      </c>
      <c r="O30" s="35">
        <v>102</v>
      </c>
      <c r="P30" s="24">
        <f t="shared" si="4"/>
        <v>729</v>
      </c>
    </row>
    <row r="31" spans="1:16" ht="11.25" customHeight="1">
      <c r="A31" s="234"/>
      <c r="B31" s="240"/>
      <c r="C31" s="47" t="s">
        <v>130</v>
      </c>
      <c r="D31" s="35">
        <v>34</v>
      </c>
      <c r="E31" s="35">
        <v>33</v>
      </c>
      <c r="F31" s="35">
        <v>47</v>
      </c>
      <c r="G31" s="35">
        <v>47</v>
      </c>
      <c r="H31" s="35">
        <v>39</v>
      </c>
      <c r="I31" s="35">
        <v>43</v>
      </c>
      <c r="J31" s="35">
        <v>51</v>
      </c>
      <c r="K31" s="35">
        <v>30</v>
      </c>
      <c r="L31" s="35">
        <v>63</v>
      </c>
      <c r="M31" s="35">
        <v>72</v>
      </c>
      <c r="N31" s="35">
        <v>65</v>
      </c>
      <c r="O31" s="35">
        <v>81</v>
      </c>
      <c r="P31" s="24">
        <f t="shared" si="4"/>
        <v>605</v>
      </c>
    </row>
    <row r="32" spans="1:16" ht="11.25" customHeight="1">
      <c r="A32" s="234"/>
      <c r="B32" s="240"/>
      <c r="C32" s="47" t="s">
        <v>29</v>
      </c>
      <c r="D32" s="35">
        <v>25</v>
      </c>
      <c r="E32" s="35">
        <v>27</v>
      </c>
      <c r="F32" s="35">
        <v>37</v>
      </c>
      <c r="G32" s="35">
        <v>43</v>
      </c>
      <c r="H32" s="35">
        <v>45</v>
      </c>
      <c r="I32" s="35">
        <v>50</v>
      </c>
      <c r="J32" s="35">
        <v>51</v>
      </c>
      <c r="K32" s="35">
        <v>47</v>
      </c>
      <c r="L32" s="35">
        <v>62</v>
      </c>
      <c r="M32" s="35">
        <v>48</v>
      </c>
      <c r="N32" s="35">
        <v>59</v>
      </c>
      <c r="O32" s="35">
        <v>74</v>
      </c>
      <c r="P32" s="24">
        <f t="shared" si="4"/>
        <v>568</v>
      </c>
    </row>
    <row r="33" spans="1:16" ht="11.25" customHeight="1">
      <c r="A33" s="234"/>
      <c r="B33" s="240"/>
      <c r="C33" s="47" t="s">
        <v>28</v>
      </c>
      <c r="D33" s="35">
        <v>31</v>
      </c>
      <c r="E33" s="35">
        <v>19</v>
      </c>
      <c r="F33" s="35">
        <v>35</v>
      </c>
      <c r="G33" s="35">
        <v>30</v>
      </c>
      <c r="H33" s="35">
        <v>32</v>
      </c>
      <c r="I33" s="35">
        <v>34</v>
      </c>
      <c r="J33" s="35">
        <v>45</v>
      </c>
      <c r="K33" s="35">
        <v>46</v>
      </c>
      <c r="L33" s="35">
        <v>36</v>
      </c>
      <c r="M33" s="35">
        <v>39</v>
      </c>
      <c r="N33" s="35">
        <v>29</v>
      </c>
      <c r="O33" s="35">
        <v>47</v>
      </c>
      <c r="P33" s="24">
        <f t="shared" si="4"/>
        <v>423</v>
      </c>
    </row>
    <row r="34" spans="1:16" ht="11.25" customHeight="1" thickBot="1">
      <c r="A34" s="234"/>
      <c r="B34" s="240"/>
      <c r="C34" s="49" t="s">
        <v>30</v>
      </c>
      <c r="D34" s="50">
        <v>18</v>
      </c>
      <c r="E34" s="50">
        <v>21</v>
      </c>
      <c r="F34" s="50">
        <v>30</v>
      </c>
      <c r="G34" s="50">
        <v>27</v>
      </c>
      <c r="H34" s="50">
        <v>28</v>
      </c>
      <c r="I34" s="50">
        <v>30</v>
      </c>
      <c r="J34" s="50">
        <v>34</v>
      </c>
      <c r="K34" s="50">
        <v>32</v>
      </c>
      <c r="L34" s="50">
        <v>39</v>
      </c>
      <c r="M34" s="50">
        <v>44</v>
      </c>
      <c r="N34" s="50">
        <v>26</v>
      </c>
      <c r="O34" s="50">
        <v>48</v>
      </c>
      <c r="P34" s="159">
        <f t="shared" si="4"/>
        <v>377</v>
      </c>
    </row>
    <row r="35" spans="1:16" ht="11.25" customHeight="1" thickBot="1">
      <c r="A35" s="234"/>
      <c r="B35" s="240"/>
      <c r="C35" s="53" t="s">
        <v>173</v>
      </c>
      <c r="D35" s="52">
        <f>SUM(D36:D44)</f>
        <v>256896</v>
      </c>
      <c r="E35" s="52">
        <f aca="true" t="shared" si="5" ref="E35:P35">SUM(E36:E44)</f>
        <v>187165</v>
      </c>
      <c r="F35" s="52">
        <f t="shared" si="5"/>
        <v>176533</v>
      </c>
      <c r="G35" s="52">
        <f t="shared" si="5"/>
        <v>151638</v>
      </c>
      <c r="H35" s="52">
        <f t="shared" si="5"/>
        <v>199049</v>
      </c>
      <c r="I35" s="52">
        <f t="shared" si="5"/>
        <v>288484</v>
      </c>
      <c r="J35" s="52">
        <f t="shared" si="5"/>
        <v>455926</v>
      </c>
      <c r="K35" s="52">
        <f t="shared" si="5"/>
        <v>356379</v>
      </c>
      <c r="L35" s="52">
        <f t="shared" si="5"/>
        <v>266833</v>
      </c>
      <c r="M35" s="52">
        <f t="shared" si="5"/>
        <v>462246</v>
      </c>
      <c r="N35" s="52">
        <f t="shared" si="5"/>
        <v>411617</v>
      </c>
      <c r="O35" s="52">
        <f t="shared" si="5"/>
        <v>695735</v>
      </c>
      <c r="P35" s="52">
        <f t="shared" si="5"/>
        <v>3908501</v>
      </c>
    </row>
    <row r="36" spans="1:16" ht="11.25" customHeight="1">
      <c r="A36" s="234"/>
      <c r="B36" s="240"/>
      <c r="C36" s="51" t="s">
        <v>25</v>
      </c>
      <c r="D36" s="39">
        <v>72386</v>
      </c>
      <c r="E36" s="39">
        <v>37478</v>
      </c>
      <c r="F36" s="39">
        <v>39712</v>
      </c>
      <c r="G36" s="39">
        <v>14566</v>
      </c>
      <c r="H36" s="39">
        <v>34540</v>
      </c>
      <c r="I36" s="39">
        <v>57782</v>
      </c>
      <c r="J36" s="39">
        <v>183098</v>
      </c>
      <c r="K36" s="39">
        <v>128672</v>
      </c>
      <c r="L36" s="39">
        <v>45793</v>
      </c>
      <c r="M36" s="39">
        <v>106384</v>
      </c>
      <c r="N36" s="39">
        <v>156116</v>
      </c>
      <c r="O36" s="39">
        <v>101051</v>
      </c>
      <c r="P36" s="156">
        <f aca="true" t="shared" si="6" ref="P36:P44">SUM(D36:O36)</f>
        <v>977578</v>
      </c>
    </row>
    <row r="37" spans="1:16" ht="11.25" customHeight="1">
      <c r="A37" s="234"/>
      <c r="B37" s="240"/>
      <c r="C37" s="47" t="s">
        <v>125</v>
      </c>
      <c r="D37" s="35">
        <v>32870</v>
      </c>
      <c r="E37" s="35">
        <v>37808</v>
      </c>
      <c r="F37" s="35">
        <v>49329</v>
      </c>
      <c r="G37" s="35">
        <v>40217</v>
      </c>
      <c r="H37" s="35">
        <v>51375</v>
      </c>
      <c r="I37" s="35">
        <v>67933</v>
      </c>
      <c r="J37" s="35">
        <v>64774</v>
      </c>
      <c r="K37" s="35">
        <v>81080</v>
      </c>
      <c r="L37" s="35">
        <v>87963</v>
      </c>
      <c r="M37" s="35">
        <v>106043</v>
      </c>
      <c r="N37" s="35">
        <v>113305</v>
      </c>
      <c r="O37" s="35">
        <v>167155</v>
      </c>
      <c r="P37" s="24">
        <f t="shared" si="6"/>
        <v>899852</v>
      </c>
    </row>
    <row r="38" spans="1:16" ht="11.25" customHeight="1">
      <c r="A38" s="234"/>
      <c r="B38" s="240"/>
      <c r="C38" s="48" t="s">
        <v>128</v>
      </c>
      <c r="D38" s="35">
        <v>47079</v>
      </c>
      <c r="E38" s="35">
        <v>63532</v>
      </c>
      <c r="F38" s="35">
        <v>26318</v>
      </c>
      <c r="G38" s="35">
        <v>34005</v>
      </c>
      <c r="H38" s="35">
        <v>35266</v>
      </c>
      <c r="I38" s="35">
        <v>44940</v>
      </c>
      <c r="J38" s="35">
        <v>142516</v>
      </c>
      <c r="K38" s="35">
        <v>68435</v>
      </c>
      <c r="L38" s="35">
        <v>60071</v>
      </c>
      <c r="M38" s="35">
        <v>72732</v>
      </c>
      <c r="N38" s="35">
        <v>59274</v>
      </c>
      <c r="O38" s="35">
        <v>102279</v>
      </c>
      <c r="P38" s="24">
        <f t="shared" si="6"/>
        <v>756447</v>
      </c>
    </row>
    <row r="39" spans="1:16" ht="11.25" customHeight="1">
      <c r="A39" s="234"/>
      <c r="B39" s="240"/>
      <c r="C39" s="47" t="s">
        <v>127</v>
      </c>
      <c r="D39" s="35">
        <v>66175</v>
      </c>
      <c r="E39" s="35">
        <v>26426</v>
      </c>
      <c r="F39" s="35">
        <v>24755</v>
      </c>
      <c r="G39" s="35">
        <v>38806</v>
      </c>
      <c r="H39" s="35">
        <v>24276</v>
      </c>
      <c r="I39" s="35">
        <v>46113</v>
      </c>
      <c r="J39" s="35">
        <v>31135</v>
      </c>
      <c r="K39" s="35">
        <v>37179</v>
      </c>
      <c r="L39" s="35">
        <v>24736</v>
      </c>
      <c r="M39" s="35">
        <v>50201</v>
      </c>
      <c r="N39" s="35">
        <v>38489</v>
      </c>
      <c r="O39" s="35">
        <v>74230</v>
      </c>
      <c r="P39" s="24">
        <f t="shared" si="6"/>
        <v>482521</v>
      </c>
    </row>
    <row r="40" spans="1:16" ht="11.25" customHeight="1">
      <c r="A40" s="234"/>
      <c r="B40" s="240"/>
      <c r="C40" s="47" t="s">
        <v>129</v>
      </c>
      <c r="D40" s="35">
        <v>4740</v>
      </c>
      <c r="E40" s="35">
        <v>7261</v>
      </c>
      <c r="F40" s="35">
        <v>7420</v>
      </c>
      <c r="G40" s="35">
        <v>6595</v>
      </c>
      <c r="H40" s="35">
        <v>9303</v>
      </c>
      <c r="I40" s="35">
        <v>8221</v>
      </c>
      <c r="J40" s="35">
        <v>5410</v>
      </c>
      <c r="K40" s="35">
        <v>13288</v>
      </c>
      <c r="L40" s="35">
        <v>7840</v>
      </c>
      <c r="M40" s="35">
        <v>97374</v>
      </c>
      <c r="N40" s="35">
        <v>9226</v>
      </c>
      <c r="O40" s="35">
        <v>146731</v>
      </c>
      <c r="P40" s="24">
        <f t="shared" si="6"/>
        <v>323409</v>
      </c>
    </row>
    <row r="41" spans="1:16" ht="11.25" customHeight="1">
      <c r="A41" s="234"/>
      <c r="B41" s="240"/>
      <c r="C41" s="47" t="s">
        <v>29</v>
      </c>
      <c r="D41" s="35">
        <v>10590</v>
      </c>
      <c r="E41" s="35">
        <v>4046</v>
      </c>
      <c r="F41" s="35">
        <v>15022</v>
      </c>
      <c r="G41" s="35">
        <v>6201</v>
      </c>
      <c r="H41" s="35">
        <v>32052</v>
      </c>
      <c r="I41" s="35">
        <v>37163</v>
      </c>
      <c r="J41" s="35">
        <v>13412</v>
      </c>
      <c r="K41" s="35">
        <v>14789</v>
      </c>
      <c r="L41" s="35">
        <v>21403</v>
      </c>
      <c r="M41" s="35">
        <v>11437</v>
      </c>
      <c r="N41" s="35">
        <v>12637</v>
      </c>
      <c r="O41" s="35">
        <v>14501</v>
      </c>
      <c r="P41" s="24">
        <f t="shared" si="6"/>
        <v>193253</v>
      </c>
    </row>
    <row r="42" spans="1:16" ht="11.25" customHeight="1">
      <c r="A42" s="234"/>
      <c r="B42" s="240"/>
      <c r="C42" s="47" t="s">
        <v>28</v>
      </c>
      <c r="D42" s="35">
        <v>17674</v>
      </c>
      <c r="E42" s="35">
        <v>4969</v>
      </c>
      <c r="F42" s="35">
        <v>7985</v>
      </c>
      <c r="G42" s="35">
        <v>5129</v>
      </c>
      <c r="H42" s="35">
        <v>4230</v>
      </c>
      <c r="I42" s="35">
        <v>11352</v>
      </c>
      <c r="J42" s="35">
        <v>8523</v>
      </c>
      <c r="K42" s="35">
        <v>5567</v>
      </c>
      <c r="L42" s="35">
        <v>6893</v>
      </c>
      <c r="M42" s="35">
        <v>6355</v>
      </c>
      <c r="N42" s="35">
        <v>12709</v>
      </c>
      <c r="O42" s="35">
        <v>27905</v>
      </c>
      <c r="P42" s="24">
        <f t="shared" si="6"/>
        <v>119291</v>
      </c>
    </row>
    <row r="43" spans="1:16" ht="11.25" customHeight="1">
      <c r="A43" s="234"/>
      <c r="B43" s="240"/>
      <c r="C43" s="47" t="s">
        <v>130</v>
      </c>
      <c r="D43" s="35">
        <v>4032</v>
      </c>
      <c r="E43" s="35">
        <v>2418</v>
      </c>
      <c r="F43" s="35">
        <v>3949</v>
      </c>
      <c r="G43" s="35">
        <v>4458</v>
      </c>
      <c r="H43" s="35">
        <v>3511</v>
      </c>
      <c r="I43" s="35">
        <v>4152</v>
      </c>
      <c r="J43" s="35">
        <v>5365</v>
      </c>
      <c r="K43" s="35">
        <v>5288</v>
      </c>
      <c r="L43" s="35">
        <v>7548</v>
      </c>
      <c r="M43" s="35">
        <v>5320</v>
      </c>
      <c r="N43" s="35">
        <v>8647</v>
      </c>
      <c r="O43" s="35">
        <v>57139</v>
      </c>
      <c r="P43" s="24">
        <f t="shared" si="6"/>
        <v>111827</v>
      </c>
    </row>
    <row r="44" spans="1:16" ht="11.25" customHeight="1" thickBot="1">
      <c r="A44" s="235"/>
      <c r="B44" s="241"/>
      <c r="C44" s="49" t="s">
        <v>30</v>
      </c>
      <c r="D44" s="50">
        <v>1350</v>
      </c>
      <c r="E44" s="50">
        <v>3227</v>
      </c>
      <c r="F44" s="50">
        <v>2043</v>
      </c>
      <c r="G44" s="50">
        <v>1661</v>
      </c>
      <c r="H44" s="50">
        <v>4496</v>
      </c>
      <c r="I44" s="50">
        <v>10828</v>
      </c>
      <c r="J44" s="50">
        <v>1693</v>
      </c>
      <c r="K44" s="50">
        <v>2081</v>
      </c>
      <c r="L44" s="50">
        <v>4586</v>
      </c>
      <c r="M44" s="50">
        <v>6400</v>
      </c>
      <c r="N44" s="50">
        <v>1214</v>
      </c>
      <c r="O44" s="50">
        <v>4744</v>
      </c>
      <c r="P44" s="159">
        <f t="shared" si="6"/>
        <v>44323</v>
      </c>
    </row>
    <row r="45" spans="1:11" ht="13.5" customHeight="1">
      <c r="A45" s="11" t="s">
        <v>124</v>
      </c>
      <c r="K45" s="3" t="s">
        <v>11</v>
      </c>
    </row>
    <row r="46" spans="2:3" s="7" customFormat="1" ht="13.5" customHeight="1">
      <c r="B46" s="14"/>
      <c r="C46" s="18"/>
    </row>
    <row r="47" ht="10.5" customHeight="1">
      <c r="A47" s="45"/>
    </row>
    <row r="48" ht="10.5" customHeight="1"/>
    <row r="49" ht="10.5" customHeight="1">
      <c r="A49" s="13"/>
    </row>
    <row r="50" ht="10.5" customHeight="1">
      <c r="A50" s="13"/>
    </row>
    <row r="51" ht="10.5" customHeight="1"/>
    <row r="52" ht="10.5" customHeight="1">
      <c r="A52" s="13"/>
    </row>
    <row r="53" ht="10.5" customHeight="1">
      <c r="A53" s="13"/>
    </row>
    <row r="54" ht="10.5" customHeight="1"/>
    <row r="55" ht="10.5" customHeight="1">
      <c r="A55" s="13"/>
    </row>
    <row r="56" ht="10.5" customHeight="1">
      <c r="A56" s="13"/>
    </row>
    <row r="57" ht="10.5" customHeight="1">
      <c r="A57" s="13"/>
    </row>
    <row r="58" ht="10.5" customHeight="1">
      <c r="A58" s="13"/>
    </row>
    <row r="59" ht="10.5" customHeight="1">
      <c r="A59" s="13"/>
    </row>
    <row r="60" ht="10.5" customHeight="1">
      <c r="A60" s="13"/>
    </row>
    <row r="61" ht="10.5" customHeight="1">
      <c r="A61" s="13"/>
    </row>
    <row r="62" ht="10.5" customHeight="1">
      <c r="A62" s="13"/>
    </row>
    <row r="63" ht="10.5" customHeight="1">
      <c r="A63" s="13"/>
    </row>
    <row r="64" ht="10.5" customHeight="1">
      <c r="A64" s="13"/>
    </row>
    <row r="65" ht="10.5" customHeight="1">
      <c r="A65" s="13"/>
    </row>
    <row r="66" ht="10.5" customHeight="1">
      <c r="A66" s="13"/>
    </row>
    <row r="67" ht="13.5" customHeight="1">
      <c r="B67" s="12"/>
    </row>
    <row r="68" ht="12.75">
      <c r="B68" s="12"/>
    </row>
    <row r="69" ht="12.75">
      <c r="B69" s="12"/>
    </row>
    <row r="70" ht="12.75">
      <c r="B70" s="12"/>
    </row>
  </sheetData>
  <sheetProtection/>
  <mergeCells count="4">
    <mergeCell ref="A5:A44"/>
    <mergeCell ref="B5:B24"/>
    <mergeCell ref="B25:B44"/>
    <mergeCell ref="D3:P3"/>
  </mergeCells>
  <printOptions horizontalCentered="1"/>
  <pageMargins left="0" right="0" top="0.5" bottom="0.5" header="0.5" footer="0.5"/>
  <pageSetup firstPageNumber="7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2" customWidth="1"/>
    <col min="2" max="2" width="3.28125" style="2" customWidth="1"/>
    <col min="3" max="3" width="15.7109375" style="17" customWidth="1"/>
    <col min="4" max="15" width="8.7109375" style="2" customWidth="1"/>
    <col min="16" max="16" width="8.7109375" style="56" customWidth="1"/>
    <col min="17" max="16384" width="9.140625" style="2" customWidth="1"/>
  </cols>
  <sheetData>
    <row r="1" spans="1:16" ht="18.75">
      <c r="A1" s="176" t="s">
        <v>157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ht="6.75" customHeight="1" thickBot="1"/>
    <row r="3" spans="4:16" ht="13.5" customHeight="1" thickBot="1">
      <c r="D3" s="242">
        <v>2009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</row>
    <row r="4" spans="4:16" ht="13.5" customHeight="1" thickBot="1">
      <c r="D4" s="172" t="s">
        <v>149</v>
      </c>
      <c r="E4" s="172" t="s">
        <v>150</v>
      </c>
      <c r="F4" s="172" t="s">
        <v>14</v>
      </c>
      <c r="G4" s="172" t="s">
        <v>15</v>
      </c>
      <c r="H4" s="172" t="s">
        <v>16</v>
      </c>
      <c r="I4" s="172" t="s">
        <v>17</v>
      </c>
      <c r="J4" s="172" t="s">
        <v>18</v>
      </c>
      <c r="K4" s="172" t="s">
        <v>151</v>
      </c>
      <c r="L4" s="172" t="s">
        <v>152</v>
      </c>
      <c r="M4" s="172" t="s">
        <v>153</v>
      </c>
      <c r="N4" s="172" t="s">
        <v>154</v>
      </c>
      <c r="O4" s="172" t="s">
        <v>155</v>
      </c>
      <c r="P4" s="172" t="s">
        <v>24</v>
      </c>
    </row>
    <row r="5" spans="1:16" ht="13.5" customHeight="1" thickBot="1">
      <c r="A5" s="243" t="s">
        <v>44</v>
      </c>
      <c r="B5" s="252" t="s">
        <v>132</v>
      </c>
      <c r="C5" s="30" t="s">
        <v>83</v>
      </c>
      <c r="D5" s="57">
        <f aca="true" t="shared" si="0" ref="D5:O5">SUM(D6:D14)</f>
        <v>306</v>
      </c>
      <c r="E5" s="57">
        <f t="shared" si="0"/>
        <v>308</v>
      </c>
      <c r="F5" s="57">
        <f t="shared" si="0"/>
        <v>360</v>
      </c>
      <c r="G5" s="57">
        <f t="shared" si="0"/>
        <v>281</v>
      </c>
      <c r="H5" s="57">
        <f t="shared" si="0"/>
        <v>299</v>
      </c>
      <c r="I5" s="57">
        <f t="shared" si="0"/>
        <v>262</v>
      </c>
      <c r="J5" s="57">
        <f t="shared" si="0"/>
        <v>342</v>
      </c>
      <c r="K5" s="57">
        <f t="shared" si="0"/>
        <v>323</v>
      </c>
      <c r="L5" s="57">
        <f t="shared" si="0"/>
        <v>324</v>
      </c>
      <c r="M5" s="57">
        <f t="shared" si="0"/>
        <v>423</v>
      </c>
      <c r="N5" s="57">
        <f t="shared" si="0"/>
        <v>382</v>
      </c>
      <c r="O5" s="57">
        <f t="shared" si="0"/>
        <v>480</v>
      </c>
      <c r="P5" s="31">
        <f aca="true" t="shared" si="1" ref="P5:P14">SUM(D5:O5)</f>
        <v>4090</v>
      </c>
    </row>
    <row r="6" spans="1:16" ht="13.5" customHeight="1">
      <c r="A6" s="244"/>
      <c r="B6" s="253"/>
      <c r="C6" s="162" t="s">
        <v>128</v>
      </c>
      <c r="D6" s="58">
        <v>75</v>
      </c>
      <c r="E6" s="58">
        <v>83</v>
      </c>
      <c r="F6" s="58">
        <v>92</v>
      </c>
      <c r="G6" s="58">
        <v>66</v>
      </c>
      <c r="H6" s="58">
        <v>60</v>
      </c>
      <c r="I6" s="58">
        <v>84</v>
      </c>
      <c r="J6" s="58">
        <v>78</v>
      </c>
      <c r="K6" s="58">
        <v>66</v>
      </c>
      <c r="L6" s="58">
        <v>87</v>
      </c>
      <c r="M6" s="58">
        <v>97</v>
      </c>
      <c r="N6" s="58">
        <v>92</v>
      </c>
      <c r="O6" s="58">
        <v>127</v>
      </c>
      <c r="P6" s="59">
        <f t="shared" si="1"/>
        <v>1007</v>
      </c>
    </row>
    <row r="7" spans="1:16" ht="13.5" customHeight="1">
      <c r="A7" s="244"/>
      <c r="B7" s="253"/>
      <c r="C7" s="47" t="s">
        <v>125</v>
      </c>
      <c r="D7" s="60">
        <v>66</v>
      </c>
      <c r="E7" s="60">
        <v>59</v>
      </c>
      <c r="F7" s="60">
        <v>79</v>
      </c>
      <c r="G7" s="60">
        <v>53</v>
      </c>
      <c r="H7" s="60">
        <v>77</v>
      </c>
      <c r="I7" s="60">
        <v>69</v>
      </c>
      <c r="J7" s="60">
        <v>89</v>
      </c>
      <c r="K7" s="60">
        <v>78</v>
      </c>
      <c r="L7" s="60">
        <v>71</v>
      </c>
      <c r="M7" s="60">
        <v>106</v>
      </c>
      <c r="N7" s="60">
        <v>80</v>
      </c>
      <c r="O7" s="60">
        <v>89</v>
      </c>
      <c r="P7" s="27">
        <f t="shared" si="1"/>
        <v>916</v>
      </c>
    </row>
    <row r="8" spans="1:16" ht="13.5" customHeight="1">
      <c r="A8" s="244"/>
      <c r="B8" s="253"/>
      <c r="C8" s="47" t="s">
        <v>127</v>
      </c>
      <c r="D8" s="60">
        <v>59</v>
      </c>
      <c r="E8" s="60">
        <v>56</v>
      </c>
      <c r="F8" s="60">
        <v>62</v>
      </c>
      <c r="G8" s="60">
        <v>71</v>
      </c>
      <c r="H8" s="60">
        <v>67</v>
      </c>
      <c r="I8" s="60">
        <v>34</v>
      </c>
      <c r="J8" s="60">
        <v>67</v>
      </c>
      <c r="K8" s="60">
        <v>68</v>
      </c>
      <c r="L8" s="60">
        <v>77</v>
      </c>
      <c r="M8" s="60">
        <v>72</v>
      </c>
      <c r="N8" s="60">
        <v>72</v>
      </c>
      <c r="O8" s="60">
        <v>77</v>
      </c>
      <c r="P8" s="27">
        <f t="shared" si="1"/>
        <v>782</v>
      </c>
    </row>
    <row r="9" spans="1:16" ht="13.5" customHeight="1">
      <c r="A9" s="244"/>
      <c r="B9" s="253"/>
      <c r="C9" s="47" t="s">
        <v>25</v>
      </c>
      <c r="D9" s="60">
        <v>23</v>
      </c>
      <c r="E9" s="60">
        <v>36</v>
      </c>
      <c r="F9" s="60">
        <v>55</v>
      </c>
      <c r="G9" s="60">
        <v>19</v>
      </c>
      <c r="H9" s="60">
        <v>29</v>
      </c>
      <c r="I9" s="60">
        <v>22</v>
      </c>
      <c r="J9" s="60">
        <v>31</v>
      </c>
      <c r="K9" s="60">
        <v>41</v>
      </c>
      <c r="L9" s="60">
        <v>20</v>
      </c>
      <c r="M9" s="60">
        <v>42</v>
      </c>
      <c r="N9" s="60">
        <v>45</v>
      </c>
      <c r="O9" s="60">
        <v>49</v>
      </c>
      <c r="P9" s="27">
        <f t="shared" si="1"/>
        <v>412</v>
      </c>
    </row>
    <row r="10" spans="1:16" ht="13.5" customHeight="1">
      <c r="A10" s="244"/>
      <c r="B10" s="253"/>
      <c r="C10" s="47" t="s">
        <v>28</v>
      </c>
      <c r="D10" s="60">
        <v>23</v>
      </c>
      <c r="E10" s="60">
        <v>13</v>
      </c>
      <c r="F10" s="60">
        <v>25</v>
      </c>
      <c r="G10" s="60">
        <v>25</v>
      </c>
      <c r="H10" s="60">
        <v>29</v>
      </c>
      <c r="I10" s="60">
        <v>12</v>
      </c>
      <c r="J10" s="60">
        <v>31</v>
      </c>
      <c r="K10" s="60">
        <v>18</v>
      </c>
      <c r="L10" s="60">
        <v>19</v>
      </c>
      <c r="M10" s="60">
        <v>35</v>
      </c>
      <c r="N10" s="60">
        <v>24</v>
      </c>
      <c r="O10" s="60">
        <v>39</v>
      </c>
      <c r="P10" s="27">
        <f t="shared" si="1"/>
        <v>293</v>
      </c>
    </row>
    <row r="11" spans="1:16" ht="13.5" customHeight="1">
      <c r="A11" s="244"/>
      <c r="B11" s="253"/>
      <c r="C11" s="47" t="s">
        <v>130</v>
      </c>
      <c r="D11" s="60">
        <v>18</v>
      </c>
      <c r="E11" s="60">
        <v>18</v>
      </c>
      <c r="F11" s="60">
        <v>13</v>
      </c>
      <c r="G11" s="60">
        <v>14</v>
      </c>
      <c r="H11" s="60">
        <v>12</v>
      </c>
      <c r="I11" s="60">
        <v>13</v>
      </c>
      <c r="J11" s="60">
        <v>15</v>
      </c>
      <c r="K11" s="60">
        <v>22</v>
      </c>
      <c r="L11" s="60">
        <v>17</v>
      </c>
      <c r="M11" s="60">
        <v>24</v>
      </c>
      <c r="N11" s="60">
        <v>27</v>
      </c>
      <c r="O11" s="60">
        <v>37</v>
      </c>
      <c r="P11" s="27">
        <f t="shared" si="1"/>
        <v>230</v>
      </c>
    </row>
    <row r="12" spans="1:16" ht="13.5" customHeight="1">
      <c r="A12" s="244"/>
      <c r="B12" s="253"/>
      <c r="C12" s="47" t="s">
        <v>129</v>
      </c>
      <c r="D12" s="60">
        <v>20</v>
      </c>
      <c r="E12" s="60">
        <v>24</v>
      </c>
      <c r="F12" s="60">
        <v>15</v>
      </c>
      <c r="G12" s="60">
        <v>11</v>
      </c>
      <c r="H12" s="60">
        <v>9</v>
      </c>
      <c r="I12" s="60">
        <v>13</v>
      </c>
      <c r="J12" s="60">
        <v>13</v>
      </c>
      <c r="K12" s="60">
        <v>6</v>
      </c>
      <c r="L12" s="60">
        <v>5</v>
      </c>
      <c r="M12" s="60">
        <v>21</v>
      </c>
      <c r="N12" s="60">
        <v>19</v>
      </c>
      <c r="O12" s="60">
        <v>16</v>
      </c>
      <c r="P12" s="27">
        <f t="shared" si="1"/>
        <v>172</v>
      </c>
    </row>
    <row r="13" spans="1:16" ht="13.5" customHeight="1">
      <c r="A13" s="244"/>
      <c r="B13" s="253"/>
      <c r="C13" s="47" t="s">
        <v>29</v>
      </c>
      <c r="D13" s="60">
        <v>11</v>
      </c>
      <c r="E13" s="60">
        <v>10</v>
      </c>
      <c r="F13" s="60">
        <v>12</v>
      </c>
      <c r="G13" s="60">
        <v>15</v>
      </c>
      <c r="H13" s="60">
        <v>8</v>
      </c>
      <c r="I13" s="60">
        <v>10</v>
      </c>
      <c r="J13" s="60">
        <v>12</v>
      </c>
      <c r="K13" s="60">
        <v>13</v>
      </c>
      <c r="L13" s="60">
        <v>17</v>
      </c>
      <c r="M13" s="60">
        <v>12</v>
      </c>
      <c r="N13" s="60">
        <v>15</v>
      </c>
      <c r="O13" s="60">
        <v>31</v>
      </c>
      <c r="P13" s="27">
        <f t="shared" si="1"/>
        <v>166</v>
      </c>
    </row>
    <row r="14" spans="1:16" ht="13.5" customHeight="1" thickBot="1">
      <c r="A14" s="244"/>
      <c r="B14" s="253"/>
      <c r="C14" s="49" t="s">
        <v>30</v>
      </c>
      <c r="D14" s="61">
        <v>11</v>
      </c>
      <c r="E14" s="61">
        <v>9</v>
      </c>
      <c r="F14" s="61">
        <v>7</v>
      </c>
      <c r="G14" s="61">
        <v>7</v>
      </c>
      <c r="H14" s="61">
        <v>8</v>
      </c>
      <c r="I14" s="61">
        <v>5</v>
      </c>
      <c r="J14" s="61">
        <v>6</v>
      </c>
      <c r="K14" s="61">
        <v>11</v>
      </c>
      <c r="L14" s="61">
        <v>11</v>
      </c>
      <c r="M14" s="61">
        <v>14</v>
      </c>
      <c r="N14" s="61">
        <v>8</v>
      </c>
      <c r="O14" s="61">
        <v>15</v>
      </c>
      <c r="P14" s="29">
        <f t="shared" si="1"/>
        <v>112</v>
      </c>
    </row>
    <row r="15" spans="1:16" ht="13.5" customHeight="1" thickBot="1">
      <c r="A15" s="244"/>
      <c r="B15" s="253"/>
      <c r="C15" s="53" t="s">
        <v>173</v>
      </c>
      <c r="D15" s="57">
        <f>SUM(D16:D24)</f>
        <v>103755</v>
      </c>
      <c r="E15" s="57">
        <f>SUM(E16:E24)</f>
        <v>107212</v>
      </c>
      <c r="F15" s="57">
        <f aca="true" t="shared" si="2" ref="F15:O15">SUM(F16:F24)</f>
        <v>190592</v>
      </c>
      <c r="G15" s="57">
        <f t="shared" si="2"/>
        <v>94125</v>
      </c>
      <c r="H15" s="57">
        <f t="shared" si="2"/>
        <v>95891</v>
      </c>
      <c r="I15" s="57">
        <f t="shared" si="2"/>
        <v>107312</v>
      </c>
      <c r="J15" s="57">
        <f t="shared" si="2"/>
        <v>226900</v>
      </c>
      <c r="K15" s="57">
        <f t="shared" si="2"/>
        <v>163721</v>
      </c>
      <c r="L15" s="57">
        <f t="shared" si="2"/>
        <v>152857</v>
      </c>
      <c r="M15" s="57">
        <f t="shared" si="2"/>
        <v>77081</v>
      </c>
      <c r="N15" s="57">
        <f t="shared" si="2"/>
        <v>111496</v>
      </c>
      <c r="O15" s="57">
        <f t="shared" si="2"/>
        <v>115838</v>
      </c>
      <c r="P15" s="31">
        <f>SUM(D15:O15)</f>
        <v>1546780</v>
      </c>
    </row>
    <row r="16" spans="1:16" ht="12.75" customHeight="1">
      <c r="A16" s="244"/>
      <c r="B16" s="253"/>
      <c r="C16" s="51" t="s">
        <v>25</v>
      </c>
      <c r="D16" s="58">
        <v>55692</v>
      </c>
      <c r="E16" s="58">
        <v>69743</v>
      </c>
      <c r="F16" s="58">
        <v>122740</v>
      </c>
      <c r="G16" s="58">
        <v>39476</v>
      </c>
      <c r="H16" s="58">
        <v>41574</v>
      </c>
      <c r="I16" s="58">
        <v>58329</v>
      </c>
      <c r="J16" s="58">
        <v>178755</v>
      </c>
      <c r="K16" s="58">
        <v>107386</v>
      </c>
      <c r="L16" s="58">
        <v>39996</v>
      </c>
      <c r="M16" s="58">
        <v>7645</v>
      </c>
      <c r="N16" s="58">
        <v>20132</v>
      </c>
      <c r="O16" s="58">
        <v>51560</v>
      </c>
      <c r="P16" s="59">
        <f aca="true" t="shared" si="3" ref="P16:P24">SUM(D16:O16)</f>
        <v>793028</v>
      </c>
    </row>
    <row r="17" spans="1:16" ht="12.75" customHeight="1">
      <c r="A17" s="244"/>
      <c r="B17" s="253"/>
      <c r="C17" s="47" t="s">
        <v>125</v>
      </c>
      <c r="D17" s="60">
        <v>18337</v>
      </c>
      <c r="E17" s="60">
        <v>7509</v>
      </c>
      <c r="F17" s="60">
        <v>27323</v>
      </c>
      <c r="G17" s="60">
        <v>8993</v>
      </c>
      <c r="H17" s="60">
        <v>14774</v>
      </c>
      <c r="I17" s="60">
        <v>21892</v>
      </c>
      <c r="J17" s="60">
        <v>13515</v>
      </c>
      <c r="K17" s="60">
        <v>14855</v>
      </c>
      <c r="L17" s="60">
        <v>36383</v>
      </c>
      <c r="M17" s="60">
        <v>21819</v>
      </c>
      <c r="N17" s="60">
        <v>14853</v>
      </c>
      <c r="O17" s="60">
        <v>10690</v>
      </c>
      <c r="P17" s="27">
        <f t="shared" si="3"/>
        <v>210943</v>
      </c>
    </row>
    <row r="18" spans="1:16" ht="12.75" customHeight="1">
      <c r="A18" s="244"/>
      <c r="B18" s="253"/>
      <c r="C18" s="47" t="s">
        <v>127</v>
      </c>
      <c r="D18" s="60">
        <v>7239</v>
      </c>
      <c r="E18" s="60">
        <v>5713</v>
      </c>
      <c r="F18" s="60">
        <v>16512</v>
      </c>
      <c r="G18" s="60">
        <v>16585</v>
      </c>
      <c r="H18" s="60">
        <v>10502</v>
      </c>
      <c r="I18" s="60">
        <v>6544</v>
      </c>
      <c r="J18" s="60">
        <v>8104</v>
      </c>
      <c r="K18" s="60">
        <v>24631</v>
      </c>
      <c r="L18" s="60">
        <v>43571</v>
      </c>
      <c r="M18" s="60">
        <v>12754</v>
      </c>
      <c r="N18" s="60">
        <v>31175</v>
      </c>
      <c r="O18" s="60">
        <v>14968</v>
      </c>
      <c r="P18" s="27">
        <f t="shared" si="3"/>
        <v>198298</v>
      </c>
    </row>
    <row r="19" spans="1:16" ht="12.75" customHeight="1">
      <c r="A19" s="244"/>
      <c r="B19" s="253"/>
      <c r="C19" s="48" t="s">
        <v>128</v>
      </c>
      <c r="D19" s="60">
        <v>10840</v>
      </c>
      <c r="E19" s="60">
        <v>14998</v>
      </c>
      <c r="F19" s="60">
        <v>17098</v>
      </c>
      <c r="G19" s="60">
        <v>9797</v>
      </c>
      <c r="H19" s="60">
        <v>8856</v>
      </c>
      <c r="I19" s="60">
        <v>10427</v>
      </c>
      <c r="J19" s="60">
        <v>13237</v>
      </c>
      <c r="K19" s="60">
        <v>9422</v>
      </c>
      <c r="L19" s="60">
        <v>21137</v>
      </c>
      <c r="M19" s="60">
        <v>18231</v>
      </c>
      <c r="N19" s="60">
        <v>28352</v>
      </c>
      <c r="O19" s="60">
        <v>21888</v>
      </c>
      <c r="P19" s="27">
        <f t="shared" si="3"/>
        <v>184283</v>
      </c>
    </row>
    <row r="20" spans="1:16" ht="12.75" customHeight="1">
      <c r="A20" s="244"/>
      <c r="B20" s="253"/>
      <c r="C20" s="47" t="s">
        <v>29</v>
      </c>
      <c r="D20" s="60">
        <v>7007</v>
      </c>
      <c r="E20" s="60">
        <v>2436</v>
      </c>
      <c r="F20" s="60">
        <v>1783</v>
      </c>
      <c r="G20" s="60">
        <v>7334</v>
      </c>
      <c r="H20" s="60">
        <v>9038</v>
      </c>
      <c r="I20" s="60">
        <v>2045</v>
      </c>
      <c r="J20" s="60">
        <v>2092</v>
      </c>
      <c r="K20" s="60">
        <v>1086</v>
      </c>
      <c r="L20" s="60">
        <v>5825</v>
      </c>
      <c r="M20" s="60">
        <v>5755</v>
      </c>
      <c r="N20" s="60">
        <v>1051</v>
      </c>
      <c r="O20" s="60">
        <v>5054</v>
      </c>
      <c r="P20" s="27">
        <f t="shared" si="3"/>
        <v>50506</v>
      </c>
    </row>
    <row r="21" spans="1:16" ht="12.75" customHeight="1">
      <c r="A21" s="244"/>
      <c r="B21" s="253"/>
      <c r="C21" s="47" t="s">
        <v>28</v>
      </c>
      <c r="D21" s="60">
        <v>1555</v>
      </c>
      <c r="E21" s="60">
        <v>3768</v>
      </c>
      <c r="F21" s="60">
        <v>2669</v>
      </c>
      <c r="G21" s="60">
        <v>10034</v>
      </c>
      <c r="H21" s="60">
        <v>6240</v>
      </c>
      <c r="I21" s="60">
        <v>5342</v>
      </c>
      <c r="J21" s="60">
        <v>4217</v>
      </c>
      <c r="K21" s="60">
        <v>1696</v>
      </c>
      <c r="L21" s="60">
        <v>2485</v>
      </c>
      <c r="M21" s="60">
        <v>2256</v>
      </c>
      <c r="N21" s="60">
        <v>2657</v>
      </c>
      <c r="O21" s="60">
        <v>5193</v>
      </c>
      <c r="P21" s="27">
        <f t="shared" si="3"/>
        <v>48112</v>
      </c>
    </row>
    <row r="22" spans="1:16" ht="12.75" customHeight="1">
      <c r="A22" s="244"/>
      <c r="B22" s="253"/>
      <c r="C22" s="47" t="s">
        <v>130</v>
      </c>
      <c r="D22" s="60">
        <v>1165</v>
      </c>
      <c r="E22" s="60">
        <v>968</v>
      </c>
      <c r="F22" s="60">
        <v>443</v>
      </c>
      <c r="G22" s="60">
        <v>597</v>
      </c>
      <c r="H22" s="60">
        <v>1721</v>
      </c>
      <c r="I22" s="60">
        <v>792</v>
      </c>
      <c r="J22" s="60">
        <v>3334</v>
      </c>
      <c r="K22" s="60">
        <v>2582</v>
      </c>
      <c r="L22" s="60">
        <v>2254</v>
      </c>
      <c r="M22" s="60">
        <v>1136</v>
      </c>
      <c r="N22" s="60">
        <v>5760</v>
      </c>
      <c r="O22" s="60">
        <v>3075</v>
      </c>
      <c r="P22" s="27">
        <f t="shared" si="3"/>
        <v>23827</v>
      </c>
    </row>
    <row r="23" spans="1:16" ht="12.75" customHeight="1">
      <c r="A23" s="244"/>
      <c r="B23" s="253"/>
      <c r="C23" s="47" t="s">
        <v>129</v>
      </c>
      <c r="D23" s="60">
        <v>1501</v>
      </c>
      <c r="E23" s="60">
        <v>1598</v>
      </c>
      <c r="F23" s="60">
        <v>1601</v>
      </c>
      <c r="G23" s="60">
        <v>943</v>
      </c>
      <c r="H23" s="60">
        <v>1958</v>
      </c>
      <c r="I23" s="60">
        <v>1295</v>
      </c>
      <c r="J23" s="60">
        <v>848</v>
      </c>
      <c r="K23" s="60">
        <v>1090</v>
      </c>
      <c r="L23" s="60">
        <v>629</v>
      </c>
      <c r="M23" s="60">
        <v>5756</v>
      </c>
      <c r="N23" s="60">
        <v>3825</v>
      </c>
      <c r="O23" s="60">
        <v>1311</v>
      </c>
      <c r="P23" s="27">
        <f t="shared" si="3"/>
        <v>22355</v>
      </c>
    </row>
    <row r="24" spans="1:16" ht="12.75" customHeight="1" thickBot="1">
      <c r="A24" s="244"/>
      <c r="B24" s="254"/>
      <c r="C24" s="49" t="s">
        <v>30</v>
      </c>
      <c r="D24" s="61">
        <v>419</v>
      </c>
      <c r="E24" s="61">
        <v>479</v>
      </c>
      <c r="F24" s="61">
        <v>423</v>
      </c>
      <c r="G24" s="61">
        <v>366</v>
      </c>
      <c r="H24" s="61">
        <v>1228</v>
      </c>
      <c r="I24" s="61">
        <v>646</v>
      </c>
      <c r="J24" s="61">
        <v>2798</v>
      </c>
      <c r="K24" s="61">
        <v>973</v>
      </c>
      <c r="L24" s="61">
        <v>577</v>
      </c>
      <c r="M24" s="61">
        <v>1729</v>
      </c>
      <c r="N24" s="61">
        <v>3691</v>
      </c>
      <c r="O24" s="61">
        <v>2099</v>
      </c>
      <c r="P24" s="29">
        <f t="shared" si="3"/>
        <v>15428</v>
      </c>
    </row>
    <row r="25" spans="1:16" ht="13.5" customHeight="1" thickBot="1">
      <c r="A25" s="244"/>
      <c r="B25" s="246" t="s">
        <v>133</v>
      </c>
      <c r="C25" s="30" t="s">
        <v>83</v>
      </c>
      <c r="D25" s="57">
        <f>SUM(D26:D34)</f>
        <v>493</v>
      </c>
      <c r="E25" s="57">
        <f>SUM(E26:E33)</f>
        <v>493</v>
      </c>
      <c r="F25" s="57">
        <f aca="true" t="shared" si="4" ref="F25:O25">SUM(F26:F34)</f>
        <v>453</v>
      </c>
      <c r="G25" s="57">
        <f t="shared" si="4"/>
        <v>342</v>
      </c>
      <c r="H25" s="57">
        <f t="shared" si="4"/>
        <v>356</v>
      </c>
      <c r="I25" s="57">
        <f t="shared" si="4"/>
        <v>404</v>
      </c>
      <c r="J25" s="57">
        <f t="shared" si="4"/>
        <v>506</v>
      </c>
      <c r="K25" s="57">
        <f t="shared" si="4"/>
        <v>294</v>
      </c>
      <c r="L25" s="57">
        <f t="shared" si="4"/>
        <v>369</v>
      </c>
      <c r="M25" s="57">
        <f t="shared" si="4"/>
        <v>476</v>
      </c>
      <c r="N25" s="57">
        <f t="shared" si="4"/>
        <v>418</v>
      </c>
      <c r="O25" s="57">
        <f t="shared" si="4"/>
        <v>384</v>
      </c>
      <c r="P25" s="31">
        <f>SUM(D25:O25)</f>
        <v>4988</v>
      </c>
    </row>
    <row r="26" spans="1:16" ht="12.75" customHeight="1">
      <c r="A26" s="244"/>
      <c r="B26" s="247"/>
      <c r="C26" s="162" t="s">
        <v>128</v>
      </c>
      <c r="D26" s="58">
        <f>78+27+33</f>
        <v>138</v>
      </c>
      <c r="E26" s="58">
        <f>82+40+29</f>
        <v>151</v>
      </c>
      <c r="F26" s="58">
        <f>61+52+42</f>
        <v>155</v>
      </c>
      <c r="G26" s="58">
        <f>53+12+24</f>
        <v>89</v>
      </c>
      <c r="H26" s="58">
        <f>36+26+29</f>
        <v>91</v>
      </c>
      <c r="I26" s="58">
        <f>31+30+21</f>
        <v>82</v>
      </c>
      <c r="J26" s="58">
        <f>108+38+31</f>
        <v>177</v>
      </c>
      <c r="K26" s="58">
        <f>12+26+28</f>
        <v>66</v>
      </c>
      <c r="L26" s="58">
        <f>65+24+18</f>
        <v>107</v>
      </c>
      <c r="M26" s="58">
        <f>62+42+19</f>
        <v>123</v>
      </c>
      <c r="N26" s="58">
        <f>71+32+33</f>
        <v>136</v>
      </c>
      <c r="O26" s="58">
        <f>29+31+23</f>
        <v>83</v>
      </c>
      <c r="P26" s="59">
        <f aca="true" t="shared" si="5" ref="P26:P34">SUM(D26:O26)</f>
        <v>1398</v>
      </c>
    </row>
    <row r="27" spans="1:16" ht="12.75" customHeight="1">
      <c r="A27" s="244"/>
      <c r="B27" s="247"/>
      <c r="C27" s="47" t="s">
        <v>125</v>
      </c>
      <c r="D27" s="60">
        <f>32+24+22</f>
        <v>78</v>
      </c>
      <c r="E27" s="60">
        <f>26+43+33</f>
        <v>102</v>
      </c>
      <c r="F27" s="60">
        <f>34+41+31</f>
        <v>106</v>
      </c>
      <c r="G27" s="60">
        <f>18+34+29</f>
        <v>81</v>
      </c>
      <c r="H27" s="60">
        <f>12+33+12</f>
        <v>57</v>
      </c>
      <c r="I27" s="60">
        <f>18+33+44</f>
        <v>95</v>
      </c>
      <c r="J27" s="60">
        <f>16+31+30</f>
        <v>77</v>
      </c>
      <c r="K27" s="60">
        <f>20+28+19</f>
        <v>67</v>
      </c>
      <c r="L27" s="60">
        <f>19+27+17</f>
        <v>63</v>
      </c>
      <c r="M27" s="60">
        <f>19+41+25</f>
        <v>85</v>
      </c>
      <c r="N27" s="60">
        <f>15+35+30</f>
        <v>80</v>
      </c>
      <c r="O27" s="60">
        <f>28+33+27</f>
        <v>88</v>
      </c>
      <c r="P27" s="27">
        <f t="shared" si="5"/>
        <v>979</v>
      </c>
    </row>
    <row r="28" spans="1:16" ht="12.75" customHeight="1">
      <c r="A28" s="244"/>
      <c r="B28" s="247"/>
      <c r="C28" s="47" t="s">
        <v>127</v>
      </c>
      <c r="D28" s="60">
        <f>22+25+27</f>
        <v>74</v>
      </c>
      <c r="E28" s="60">
        <f>15+27+35</f>
        <v>77</v>
      </c>
      <c r="F28" s="60">
        <f>8+17+22</f>
        <v>47</v>
      </c>
      <c r="G28" s="60">
        <f>4+31+24</f>
        <v>59</v>
      </c>
      <c r="H28" s="60">
        <f>20+21+21</f>
        <v>62</v>
      </c>
      <c r="I28" s="60">
        <f>16+35+20</f>
        <v>71</v>
      </c>
      <c r="J28" s="60">
        <f>14+34+19</f>
        <v>67</v>
      </c>
      <c r="K28" s="60">
        <f>7+8+12</f>
        <v>27</v>
      </c>
      <c r="L28" s="60">
        <f>24+20+24</f>
        <v>68</v>
      </c>
      <c r="M28" s="60">
        <f>60+36+27</f>
        <v>123</v>
      </c>
      <c r="N28" s="60">
        <f>16+23+26</f>
        <v>65</v>
      </c>
      <c r="O28" s="60">
        <f>2+53+13</f>
        <v>68</v>
      </c>
      <c r="P28" s="27">
        <f t="shared" si="5"/>
        <v>808</v>
      </c>
    </row>
    <row r="29" spans="1:16" ht="12.75" customHeight="1">
      <c r="A29" s="244"/>
      <c r="B29" s="247"/>
      <c r="C29" s="47" t="s">
        <v>25</v>
      </c>
      <c r="D29" s="60">
        <f>59+17+11</f>
        <v>87</v>
      </c>
      <c r="E29" s="60">
        <f>14+21+17</f>
        <v>52</v>
      </c>
      <c r="F29" s="60">
        <f>10+21+12</f>
        <v>43</v>
      </c>
      <c r="G29" s="60">
        <f>8+14+8</f>
        <v>30</v>
      </c>
      <c r="H29" s="60">
        <f>5+7+16</f>
        <v>28</v>
      </c>
      <c r="I29" s="60">
        <f>23+22</f>
        <v>45</v>
      </c>
      <c r="J29" s="60">
        <f>15+31+14</f>
        <v>60</v>
      </c>
      <c r="K29" s="60">
        <f>7+21+9</f>
        <v>37</v>
      </c>
      <c r="L29" s="60">
        <f>16+11+12</f>
        <v>39</v>
      </c>
      <c r="M29" s="60">
        <f>10+18+14</f>
        <v>42</v>
      </c>
      <c r="N29" s="60">
        <f>5+20+12</f>
        <v>37</v>
      </c>
      <c r="O29" s="60">
        <f>5+25+14</f>
        <v>44</v>
      </c>
      <c r="P29" s="27">
        <f t="shared" si="5"/>
        <v>544</v>
      </c>
    </row>
    <row r="30" spans="1:16" ht="12.75" customHeight="1">
      <c r="A30" s="244"/>
      <c r="B30" s="247"/>
      <c r="C30" s="47" t="s">
        <v>29</v>
      </c>
      <c r="D30" s="60">
        <f>18+6+6</f>
        <v>30</v>
      </c>
      <c r="E30" s="60">
        <f>19+12+5</f>
        <v>36</v>
      </c>
      <c r="F30" s="60">
        <f>20+9+5</f>
        <v>34</v>
      </c>
      <c r="G30" s="60">
        <f>14+8+2</f>
        <v>24</v>
      </c>
      <c r="H30" s="60">
        <f>14+7+1</f>
        <v>22</v>
      </c>
      <c r="I30" s="60">
        <f>13+6+6</f>
        <v>25</v>
      </c>
      <c r="J30" s="60">
        <f>17+9+6</f>
        <v>32</v>
      </c>
      <c r="K30" s="60">
        <f>21+8+3</f>
        <v>32</v>
      </c>
      <c r="L30" s="60">
        <f>21+8+3</f>
        <v>32</v>
      </c>
      <c r="M30" s="60">
        <f>17+5+8</f>
        <v>30</v>
      </c>
      <c r="N30" s="60">
        <f>13+4+5</f>
        <v>22</v>
      </c>
      <c r="O30" s="60">
        <f>14+1+6</f>
        <v>21</v>
      </c>
      <c r="P30" s="27">
        <f t="shared" si="5"/>
        <v>340</v>
      </c>
    </row>
    <row r="31" spans="1:16" ht="12.75" customHeight="1">
      <c r="A31" s="244"/>
      <c r="B31" s="247"/>
      <c r="C31" s="47" t="s">
        <v>129</v>
      </c>
      <c r="D31" s="60">
        <f>3+19+8</f>
        <v>30</v>
      </c>
      <c r="E31" s="60">
        <f>1+16+13</f>
        <v>30</v>
      </c>
      <c r="F31" s="60">
        <f>15+13</f>
        <v>28</v>
      </c>
      <c r="G31" s="60">
        <f>8+8</f>
        <v>16</v>
      </c>
      <c r="H31" s="60">
        <f>15+19</f>
        <v>34</v>
      </c>
      <c r="I31" s="60">
        <f>1+19+11</f>
        <v>31</v>
      </c>
      <c r="J31" s="60">
        <f>1+12+19</f>
        <v>32</v>
      </c>
      <c r="K31" s="60">
        <f>1+14+5</f>
        <v>20</v>
      </c>
      <c r="L31" s="60">
        <f>2+6+11</f>
        <v>19</v>
      </c>
      <c r="M31" s="60">
        <f>19+10</f>
        <v>29</v>
      </c>
      <c r="N31" s="60">
        <f>12+13</f>
        <v>25</v>
      </c>
      <c r="O31" s="60">
        <f>11+16</f>
        <v>27</v>
      </c>
      <c r="P31" s="27">
        <f t="shared" si="5"/>
        <v>321</v>
      </c>
    </row>
    <row r="32" spans="1:16" ht="12.75" customHeight="1">
      <c r="A32" s="244"/>
      <c r="B32" s="247"/>
      <c r="C32" s="47" t="s">
        <v>28</v>
      </c>
      <c r="D32" s="60">
        <f>3+7+11</f>
        <v>21</v>
      </c>
      <c r="E32" s="60">
        <f>13+6+7</f>
        <v>26</v>
      </c>
      <c r="F32" s="60">
        <f>5+8+7</f>
        <v>20</v>
      </c>
      <c r="G32" s="60">
        <f>6+10+11</f>
        <v>27</v>
      </c>
      <c r="H32" s="60">
        <f>7+12+12</f>
        <v>31</v>
      </c>
      <c r="I32" s="60">
        <f>5+5+9</f>
        <v>19</v>
      </c>
      <c r="J32" s="60">
        <f>4+4+18</f>
        <v>26</v>
      </c>
      <c r="K32" s="60">
        <f>7+5+5</f>
        <v>17</v>
      </c>
      <c r="L32" s="60">
        <f>4+7+7</f>
        <v>18</v>
      </c>
      <c r="M32" s="60">
        <f>10+5</f>
        <v>15</v>
      </c>
      <c r="N32" s="60">
        <f>10+17+4</f>
        <v>31</v>
      </c>
      <c r="O32" s="60">
        <f>5+16+6</f>
        <v>27</v>
      </c>
      <c r="P32" s="27">
        <f t="shared" si="5"/>
        <v>278</v>
      </c>
    </row>
    <row r="33" spans="1:16" ht="12.75" customHeight="1">
      <c r="A33" s="244"/>
      <c r="B33" s="247"/>
      <c r="C33" s="47" t="s">
        <v>130</v>
      </c>
      <c r="D33" s="60">
        <f>6+8+8</f>
        <v>22</v>
      </c>
      <c r="E33" s="60">
        <f>2+12+5</f>
        <v>19</v>
      </c>
      <c r="F33" s="60">
        <f>5+7+6</f>
        <v>18</v>
      </c>
      <c r="G33" s="60">
        <f>4+4</f>
        <v>8</v>
      </c>
      <c r="H33" s="60">
        <f>2+13+7</f>
        <v>22</v>
      </c>
      <c r="I33" s="60">
        <f>1+14+13</f>
        <v>28</v>
      </c>
      <c r="J33" s="60">
        <f>4+12+8</f>
        <v>24</v>
      </c>
      <c r="K33" s="60">
        <f>5+7+4</f>
        <v>16</v>
      </c>
      <c r="L33" s="60">
        <f>2+12+1</f>
        <v>15</v>
      </c>
      <c r="M33" s="60">
        <f>11+7</f>
        <v>18</v>
      </c>
      <c r="N33" s="60">
        <f>3+9+8</f>
        <v>20</v>
      </c>
      <c r="O33" s="60">
        <f>2+10+6</f>
        <v>18</v>
      </c>
      <c r="P33" s="27">
        <f t="shared" si="5"/>
        <v>228</v>
      </c>
    </row>
    <row r="34" spans="1:16" ht="12.75" customHeight="1" thickBot="1">
      <c r="A34" s="244"/>
      <c r="B34" s="248"/>
      <c r="C34" s="49" t="s">
        <v>30</v>
      </c>
      <c r="D34" s="61">
        <f>10+2+1</f>
        <v>13</v>
      </c>
      <c r="E34" s="28">
        <f>1+6+4</f>
        <v>11</v>
      </c>
      <c r="F34" s="61">
        <f>1+1</f>
        <v>2</v>
      </c>
      <c r="G34" s="61">
        <f>5+2+1</f>
        <v>8</v>
      </c>
      <c r="H34" s="61">
        <f>5+4</f>
        <v>9</v>
      </c>
      <c r="I34" s="61">
        <f>1+4+3</f>
        <v>8</v>
      </c>
      <c r="J34" s="61">
        <f>2+7+2</f>
        <v>11</v>
      </c>
      <c r="K34" s="61">
        <f>2+4+6</f>
        <v>12</v>
      </c>
      <c r="L34" s="61">
        <f>7+1</f>
        <v>8</v>
      </c>
      <c r="M34" s="61">
        <f>7+4</f>
        <v>11</v>
      </c>
      <c r="N34" s="61">
        <f>1+1</f>
        <v>2</v>
      </c>
      <c r="O34" s="61">
        <f>1+7</f>
        <v>8</v>
      </c>
      <c r="P34" s="29">
        <f t="shared" si="5"/>
        <v>103</v>
      </c>
    </row>
    <row r="35" spans="1:16" ht="13.5" customHeight="1" thickBot="1">
      <c r="A35" s="244"/>
      <c r="B35" s="249" t="s">
        <v>134</v>
      </c>
      <c r="C35" s="30" t="s">
        <v>83</v>
      </c>
      <c r="D35" s="57">
        <f aca="true" t="shared" si="6" ref="D35:O35">SUM(D36:D37)</f>
        <v>10</v>
      </c>
      <c r="E35" s="57">
        <f t="shared" si="6"/>
        <v>17</v>
      </c>
      <c r="F35" s="57">
        <f t="shared" si="6"/>
        <v>21</v>
      </c>
      <c r="G35" s="57">
        <f t="shared" si="6"/>
        <v>14</v>
      </c>
      <c r="H35" s="57">
        <f t="shared" si="6"/>
        <v>29</v>
      </c>
      <c r="I35" s="57">
        <f t="shared" si="6"/>
        <v>20</v>
      </c>
      <c r="J35" s="57">
        <f t="shared" si="6"/>
        <v>18</v>
      </c>
      <c r="K35" s="57">
        <f t="shared" si="6"/>
        <v>21</v>
      </c>
      <c r="L35" s="57">
        <f t="shared" si="6"/>
        <v>11</v>
      </c>
      <c r="M35" s="57">
        <f t="shared" si="6"/>
        <v>28</v>
      </c>
      <c r="N35" s="57">
        <f t="shared" si="6"/>
        <v>4</v>
      </c>
      <c r="O35" s="57">
        <f t="shared" si="6"/>
        <v>25</v>
      </c>
      <c r="P35" s="31">
        <f>SUM(D35:O35)</f>
        <v>218</v>
      </c>
    </row>
    <row r="36" spans="1:16" ht="25.5" customHeight="1">
      <c r="A36" s="244"/>
      <c r="B36" s="250"/>
      <c r="C36" s="163" t="s">
        <v>29</v>
      </c>
      <c r="D36" s="62">
        <v>10</v>
      </c>
      <c r="E36" s="62">
        <v>17</v>
      </c>
      <c r="F36" s="62">
        <v>21</v>
      </c>
      <c r="G36" s="62">
        <v>9</v>
      </c>
      <c r="H36" s="62">
        <v>27</v>
      </c>
      <c r="I36" s="62">
        <v>20</v>
      </c>
      <c r="J36" s="62">
        <v>17</v>
      </c>
      <c r="K36" s="62">
        <v>21</v>
      </c>
      <c r="L36" s="62">
        <v>11</v>
      </c>
      <c r="M36" s="62">
        <v>28</v>
      </c>
      <c r="N36" s="62">
        <v>0</v>
      </c>
      <c r="O36" s="62">
        <v>24</v>
      </c>
      <c r="P36" s="62">
        <f>SUM(D36:O36)</f>
        <v>205</v>
      </c>
    </row>
    <row r="37" spans="1:16" ht="25.5" customHeight="1" thickBot="1">
      <c r="A37" s="245"/>
      <c r="B37" s="251"/>
      <c r="C37" s="164" t="s">
        <v>28</v>
      </c>
      <c r="D37" s="63">
        <v>0</v>
      </c>
      <c r="E37" s="63">
        <v>0</v>
      </c>
      <c r="F37" s="63">
        <v>0</v>
      </c>
      <c r="G37" s="63">
        <v>5</v>
      </c>
      <c r="H37" s="63">
        <v>2</v>
      </c>
      <c r="I37" s="63">
        <v>0</v>
      </c>
      <c r="J37" s="63">
        <v>1</v>
      </c>
      <c r="K37" s="63">
        <v>0</v>
      </c>
      <c r="L37" s="63">
        <v>0</v>
      </c>
      <c r="M37" s="63">
        <v>0</v>
      </c>
      <c r="N37" s="63">
        <v>4</v>
      </c>
      <c r="O37" s="63">
        <v>1</v>
      </c>
      <c r="P37" s="63">
        <f>SUM(D37:O37)</f>
        <v>13</v>
      </c>
    </row>
    <row r="38" spans="1:11" s="3" customFormat="1" ht="13.5" customHeight="1">
      <c r="A38" s="11" t="s">
        <v>124</v>
      </c>
      <c r="B38" s="6"/>
      <c r="C38" s="16"/>
      <c r="K38" s="3" t="s">
        <v>11</v>
      </c>
    </row>
    <row r="39" ht="12.75" customHeight="1"/>
  </sheetData>
  <sheetProtection/>
  <mergeCells count="5">
    <mergeCell ref="A5:A37"/>
    <mergeCell ref="D3:P3"/>
    <mergeCell ref="B25:B34"/>
    <mergeCell ref="B35:B37"/>
    <mergeCell ref="B5:B24"/>
  </mergeCells>
  <printOptions horizontalCentered="1"/>
  <pageMargins left="0" right="0" top="0.5" bottom="0.5" header="0.5" footer="0.5"/>
  <pageSetup firstPageNumber="7" useFirstPageNumber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2" customWidth="1"/>
    <col min="2" max="2" width="3.28125" style="2" customWidth="1"/>
    <col min="3" max="3" width="17.00390625" style="2" customWidth="1"/>
    <col min="4" max="16" width="8.7109375" style="2" customWidth="1"/>
    <col min="17" max="16384" width="9.140625" style="2" customWidth="1"/>
  </cols>
  <sheetData>
    <row r="1" spans="1:16" ht="19.5" customHeight="1">
      <c r="A1" s="176" t="s">
        <v>158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ht="6.75" customHeight="1" thickBot="1"/>
    <row r="3" spans="3:16" ht="13.5" customHeight="1" thickBot="1">
      <c r="C3" s="17"/>
      <c r="D3" s="242">
        <v>2009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</row>
    <row r="4" spans="3:16" ht="13.5" customHeight="1" thickBot="1">
      <c r="C4" s="17"/>
      <c r="D4" s="172" t="s">
        <v>149</v>
      </c>
      <c r="E4" s="172" t="s">
        <v>150</v>
      </c>
      <c r="F4" s="172" t="s">
        <v>14</v>
      </c>
      <c r="G4" s="172" t="s">
        <v>15</v>
      </c>
      <c r="H4" s="172" t="s">
        <v>16</v>
      </c>
      <c r="I4" s="172" t="s">
        <v>17</v>
      </c>
      <c r="J4" s="172" t="s">
        <v>18</v>
      </c>
      <c r="K4" s="172" t="s">
        <v>151</v>
      </c>
      <c r="L4" s="172" t="s">
        <v>152</v>
      </c>
      <c r="M4" s="172" t="s">
        <v>153</v>
      </c>
      <c r="N4" s="172" t="s">
        <v>154</v>
      </c>
      <c r="O4" s="172" t="s">
        <v>155</v>
      </c>
      <c r="P4" s="172" t="s">
        <v>24</v>
      </c>
    </row>
    <row r="5" spans="1:16" ht="15" customHeight="1" thickBot="1">
      <c r="A5" s="243" t="s">
        <v>44</v>
      </c>
      <c r="B5" s="255" t="s">
        <v>135</v>
      </c>
      <c r="C5" s="100" t="s">
        <v>83</v>
      </c>
      <c r="D5" s="67">
        <f aca="true" t="shared" si="0" ref="D5:O5">SUM(D6:D14)</f>
        <v>18122</v>
      </c>
      <c r="E5" s="67">
        <f t="shared" si="0"/>
        <v>24223</v>
      </c>
      <c r="F5" s="67">
        <f t="shared" si="0"/>
        <v>21385</v>
      </c>
      <c r="G5" s="67">
        <f t="shared" si="0"/>
        <v>17661</v>
      </c>
      <c r="H5" s="67">
        <f t="shared" si="0"/>
        <v>18756</v>
      </c>
      <c r="I5" s="67">
        <f t="shared" si="0"/>
        <v>19106</v>
      </c>
      <c r="J5" s="67">
        <f t="shared" si="0"/>
        <v>21601</v>
      </c>
      <c r="K5" s="67">
        <f t="shared" si="0"/>
        <v>20365</v>
      </c>
      <c r="L5" s="67">
        <f t="shared" si="0"/>
        <v>19227</v>
      </c>
      <c r="M5" s="67">
        <f t="shared" si="0"/>
        <v>23676</v>
      </c>
      <c r="N5" s="67">
        <f t="shared" si="0"/>
        <v>21150</v>
      </c>
      <c r="O5" s="67">
        <f t="shared" si="0"/>
        <v>30223</v>
      </c>
      <c r="P5" s="68">
        <f aca="true" t="shared" si="1" ref="P5:P34">SUM(D5:O5)</f>
        <v>255495</v>
      </c>
    </row>
    <row r="6" spans="1:16" ht="15" customHeight="1" thickBot="1">
      <c r="A6" s="244"/>
      <c r="B6" s="255"/>
      <c r="C6" s="51" t="s">
        <v>125</v>
      </c>
      <c r="D6" s="58">
        <v>3569</v>
      </c>
      <c r="E6" s="58">
        <v>3994</v>
      </c>
      <c r="F6" s="58">
        <v>4068</v>
      </c>
      <c r="G6" s="58">
        <v>4027</v>
      </c>
      <c r="H6" s="58">
        <v>4411</v>
      </c>
      <c r="I6" s="58">
        <v>3875</v>
      </c>
      <c r="J6" s="58">
        <v>4790</v>
      </c>
      <c r="K6" s="58">
        <v>4162</v>
      </c>
      <c r="L6" s="58">
        <v>4430</v>
      </c>
      <c r="M6" s="58">
        <v>4814</v>
      </c>
      <c r="N6" s="58">
        <v>5167</v>
      </c>
      <c r="O6" s="58">
        <v>6873</v>
      </c>
      <c r="P6" s="59">
        <f t="shared" si="1"/>
        <v>54180</v>
      </c>
    </row>
    <row r="7" spans="1:16" ht="15" customHeight="1" thickBot="1">
      <c r="A7" s="244"/>
      <c r="B7" s="255"/>
      <c r="C7" s="48" t="s">
        <v>128</v>
      </c>
      <c r="D7" s="60">
        <v>2511</v>
      </c>
      <c r="E7" s="60">
        <v>3149</v>
      </c>
      <c r="F7" s="60">
        <v>3267</v>
      </c>
      <c r="G7" s="60">
        <v>2615</v>
      </c>
      <c r="H7" s="60">
        <v>2687</v>
      </c>
      <c r="I7" s="60">
        <v>2801</v>
      </c>
      <c r="J7" s="60">
        <v>3612</v>
      </c>
      <c r="K7" s="60">
        <v>2910</v>
      </c>
      <c r="L7" s="60">
        <v>3173</v>
      </c>
      <c r="M7" s="60">
        <v>3718</v>
      </c>
      <c r="N7" s="60">
        <v>2993</v>
      </c>
      <c r="O7" s="60">
        <v>5578</v>
      </c>
      <c r="P7" s="27">
        <f t="shared" si="1"/>
        <v>39014</v>
      </c>
    </row>
    <row r="8" spans="1:16" ht="15" customHeight="1" thickBot="1">
      <c r="A8" s="244"/>
      <c r="B8" s="255"/>
      <c r="C8" s="47" t="s">
        <v>25</v>
      </c>
      <c r="D8" s="60">
        <v>2617</v>
      </c>
      <c r="E8" s="60">
        <v>7444</v>
      </c>
      <c r="F8" s="60">
        <v>1970</v>
      </c>
      <c r="G8" s="60">
        <v>1692</v>
      </c>
      <c r="H8" s="60">
        <v>1810</v>
      </c>
      <c r="I8" s="60">
        <v>2031</v>
      </c>
      <c r="J8" s="60">
        <v>1893</v>
      </c>
      <c r="K8" s="60">
        <v>2275</v>
      </c>
      <c r="L8" s="60">
        <v>1697</v>
      </c>
      <c r="M8" s="60">
        <v>2203</v>
      </c>
      <c r="N8" s="60">
        <v>2269</v>
      </c>
      <c r="O8" s="60">
        <v>3397</v>
      </c>
      <c r="P8" s="27">
        <f t="shared" si="1"/>
        <v>31298</v>
      </c>
    </row>
    <row r="9" spans="1:16" ht="15" customHeight="1" thickBot="1">
      <c r="A9" s="244"/>
      <c r="B9" s="255"/>
      <c r="C9" s="47" t="s">
        <v>127</v>
      </c>
      <c r="D9" s="60">
        <v>2580</v>
      </c>
      <c r="E9" s="60">
        <v>2439</v>
      </c>
      <c r="F9" s="60">
        <v>2485</v>
      </c>
      <c r="G9" s="60">
        <v>1880</v>
      </c>
      <c r="H9" s="60">
        <v>2073</v>
      </c>
      <c r="I9" s="60">
        <v>2522</v>
      </c>
      <c r="J9" s="60">
        <v>2531</v>
      </c>
      <c r="K9" s="60">
        <v>2475</v>
      </c>
      <c r="L9" s="60">
        <v>2539</v>
      </c>
      <c r="M9" s="60">
        <v>3066</v>
      </c>
      <c r="N9" s="60">
        <v>2695</v>
      </c>
      <c r="O9" s="60">
        <v>3241</v>
      </c>
      <c r="P9" s="27">
        <f t="shared" si="1"/>
        <v>30526</v>
      </c>
    </row>
    <row r="10" spans="1:16" ht="15" customHeight="1" thickBot="1">
      <c r="A10" s="244"/>
      <c r="B10" s="255"/>
      <c r="C10" s="47" t="s">
        <v>28</v>
      </c>
      <c r="D10" s="60">
        <v>1518</v>
      </c>
      <c r="E10" s="60">
        <v>1340</v>
      </c>
      <c r="F10" s="60">
        <v>2863</v>
      </c>
      <c r="G10" s="60">
        <v>1910</v>
      </c>
      <c r="H10" s="60">
        <v>1723</v>
      </c>
      <c r="I10" s="60">
        <v>1979</v>
      </c>
      <c r="J10" s="60">
        <v>2083</v>
      </c>
      <c r="K10" s="60">
        <v>1959</v>
      </c>
      <c r="L10" s="60">
        <v>1846</v>
      </c>
      <c r="M10" s="60">
        <v>2190</v>
      </c>
      <c r="N10" s="60">
        <v>1998</v>
      </c>
      <c r="O10" s="60">
        <v>2849</v>
      </c>
      <c r="P10" s="27">
        <f t="shared" si="1"/>
        <v>24258</v>
      </c>
    </row>
    <row r="11" spans="1:16" ht="15" customHeight="1" thickBot="1">
      <c r="A11" s="244"/>
      <c r="B11" s="255"/>
      <c r="C11" s="47" t="s">
        <v>130</v>
      </c>
      <c r="D11" s="60">
        <v>1457</v>
      </c>
      <c r="E11" s="60">
        <v>1578</v>
      </c>
      <c r="F11" s="60">
        <v>1529</v>
      </c>
      <c r="G11" s="60">
        <v>1668</v>
      </c>
      <c r="H11" s="60">
        <v>1800</v>
      </c>
      <c r="I11" s="60">
        <v>1322</v>
      </c>
      <c r="J11" s="60">
        <v>1728</v>
      </c>
      <c r="K11" s="60">
        <v>1814</v>
      </c>
      <c r="L11" s="60">
        <v>1858</v>
      </c>
      <c r="M11" s="60">
        <v>2443</v>
      </c>
      <c r="N11" s="60">
        <v>2049</v>
      </c>
      <c r="O11" s="60">
        <v>2454</v>
      </c>
      <c r="P11" s="27">
        <f t="shared" si="1"/>
        <v>21700</v>
      </c>
    </row>
    <row r="12" spans="1:16" ht="15" customHeight="1" thickBot="1">
      <c r="A12" s="244"/>
      <c r="B12" s="255"/>
      <c r="C12" s="47" t="s">
        <v>29</v>
      </c>
      <c r="D12" s="60">
        <v>1507</v>
      </c>
      <c r="E12" s="60">
        <v>1359</v>
      </c>
      <c r="F12" s="60">
        <v>2133</v>
      </c>
      <c r="G12" s="60">
        <v>1664</v>
      </c>
      <c r="H12" s="60">
        <v>1835</v>
      </c>
      <c r="I12" s="60">
        <v>1704</v>
      </c>
      <c r="J12" s="60">
        <v>1967</v>
      </c>
      <c r="K12" s="60">
        <v>2048</v>
      </c>
      <c r="L12" s="60">
        <v>1495</v>
      </c>
      <c r="M12" s="60">
        <v>1770</v>
      </c>
      <c r="N12" s="60">
        <v>1398</v>
      </c>
      <c r="O12" s="60">
        <v>2251</v>
      </c>
      <c r="P12" s="27">
        <f t="shared" si="1"/>
        <v>21131</v>
      </c>
    </row>
    <row r="13" spans="1:16" ht="15" customHeight="1" thickBot="1">
      <c r="A13" s="244"/>
      <c r="B13" s="255"/>
      <c r="C13" s="47" t="s">
        <v>129</v>
      </c>
      <c r="D13" s="60">
        <v>1359</v>
      </c>
      <c r="E13" s="60">
        <v>2068</v>
      </c>
      <c r="F13" s="60">
        <v>1502</v>
      </c>
      <c r="G13" s="60">
        <v>1455</v>
      </c>
      <c r="H13" s="60">
        <v>1549</v>
      </c>
      <c r="I13" s="60">
        <v>1801</v>
      </c>
      <c r="J13" s="60">
        <v>1684</v>
      </c>
      <c r="K13" s="60">
        <v>1659</v>
      </c>
      <c r="L13" s="60">
        <v>1165</v>
      </c>
      <c r="M13" s="60">
        <v>2004</v>
      </c>
      <c r="N13" s="60">
        <v>1624</v>
      </c>
      <c r="O13" s="60">
        <v>2181</v>
      </c>
      <c r="P13" s="27">
        <f t="shared" si="1"/>
        <v>20051</v>
      </c>
    </row>
    <row r="14" spans="1:16" ht="15" customHeight="1" thickBot="1">
      <c r="A14" s="244"/>
      <c r="B14" s="255"/>
      <c r="C14" s="49" t="s">
        <v>30</v>
      </c>
      <c r="D14" s="61">
        <v>1004</v>
      </c>
      <c r="E14" s="61">
        <v>852</v>
      </c>
      <c r="F14" s="61">
        <v>1568</v>
      </c>
      <c r="G14" s="61">
        <v>750</v>
      </c>
      <c r="H14" s="61">
        <v>868</v>
      </c>
      <c r="I14" s="61">
        <v>1071</v>
      </c>
      <c r="J14" s="61">
        <v>1313</v>
      </c>
      <c r="K14" s="61">
        <v>1063</v>
      </c>
      <c r="L14" s="61">
        <v>1024</v>
      </c>
      <c r="M14" s="61">
        <v>1468</v>
      </c>
      <c r="N14" s="61">
        <v>957</v>
      </c>
      <c r="O14" s="61">
        <v>1399</v>
      </c>
      <c r="P14" s="29">
        <f t="shared" si="1"/>
        <v>13337</v>
      </c>
    </row>
    <row r="15" spans="1:16" ht="15" customHeight="1" thickBot="1">
      <c r="A15" s="244"/>
      <c r="B15" s="256" t="s">
        <v>136</v>
      </c>
      <c r="C15" s="100" t="s">
        <v>83</v>
      </c>
      <c r="D15" s="64">
        <f>SUM(D16:D24)</f>
        <v>10247</v>
      </c>
      <c r="E15" s="64">
        <f aca="true" t="shared" si="2" ref="E15:O15">SUM(E16:E24)</f>
        <v>10934</v>
      </c>
      <c r="F15" s="64">
        <f t="shared" si="2"/>
        <v>12620</v>
      </c>
      <c r="G15" s="64">
        <f t="shared" si="2"/>
        <v>11065</v>
      </c>
      <c r="H15" s="64">
        <f t="shared" si="2"/>
        <v>12371</v>
      </c>
      <c r="I15" s="64">
        <f t="shared" si="2"/>
        <v>12479</v>
      </c>
      <c r="J15" s="64">
        <f t="shared" si="2"/>
        <v>14814</v>
      </c>
      <c r="K15" s="64">
        <f t="shared" si="2"/>
        <v>14194</v>
      </c>
      <c r="L15" s="64">
        <f t="shared" si="2"/>
        <v>13688</v>
      </c>
      <c r="M15" s="64">
        <f t="shared" si="2"/>
        <v>16408</v>
      </c>
      <c r="N15" s="64">
        <f t="shared" si="2"/>
        <v>14200</v>
      </c>
      <c r="O15" s="64">
        <f t="shared" si="2"/>
        <v>21342</v>
      </c>
      <c r="P15" s="65">
        <f t="shared" si="1"/>
        <v>164362</v>
      </c>
    </row>
    <row r="16" spans="1:16" ht="15" customHeight="1" thickBot="1">
      <c r="A16" s="244"/>
      <c r="B16" s="256"/>
      <c r="C16" s="51" t="s">
        <v>125</v>
      </c>
      <c r="D16" s="58">
        <v>2389</v>
      </c>
      <c r="E16" s="58">
        <v>2726</v>
      </c>
      <c r="F16" s="58">
        <v>3073</v>
      </c>
      <c r="G16" s="58">
        <v>2709</v>
      </c>
      <c r="H16" s="58">
        <v>3094</v>
      </c>
      <c r="I16" s="58">
        <v>3115</v>
      </c>
      <c r="J16" s="58">
        <v>3670</v>
      </c>
      <c r="K16" s="58">
        <v>3575</v>
      </c>
      <c r="L16" s="58">
        <v>3347</v>
      </c>
      <c r="M16" s="58">
        <v>3972</v>
      </c>
      <c r="N16" s="58">
        <v>3427</v>
      </c>
      <c r="O16" s="58">
        <v>5556</v>
      </c>
      <c r="P16" s="59">
        <f t="shared" si="1"/>
        <v>40653</v>
      </c>
    </row>
    <row r="17" spans="1:16" ht="15" customHeight="1" thickBot="1">
      <c r="A17" s="244"/>
      <c r="B17" s="256"/>
      <c r="C17" s="48" t="s">
        <v>128</v>
      </c>
      <c r="D17" s="60">
        <v>1511</v>
      </c>
      <c r="E17" s="60">
        <v>1755</v>
      </c>
      <c r="F17" s="60">
        <v>2084</v>
      </c>
      <c r="G17" s="60">
        <v>1663</v>
      </c>
      <c r="H17" s="60">
        <v>1797</v>
      </c>
      <c r="I17" s="60">
        <v>1880</v>
      </c>
      <c r="J17" s="60">
        <v>2341</v>
      </c>
      <c r="K17" s="60">
        <v>2029</v>
      </c>
      <c r="L17" s="60">
        <v>2368</v>
      </c>
      <c r="M17" s="60">
        <v>2590</v>
      </c>
      <c r="N17" s="60">
        <v>2232</v>
      </c>
      <c r="O17" s="60">
        <v>3458</v>
      </c>
      <c r="P17" s="27">
        <f t="shared" si="1"/>
        <v>25708</v>
      </c>
    </row>
    <row r="18" spans="1:16" ht="15" customHeight="1" thickBot="1">
      <c r="A18" s="244"/>
      <c r="B18" s="256"/>
      <c r="C18" s="47" t="s">
        <v>127</v>
      </c>
      <c r="D18" s="60">
        <v>1190</v>
      </c>
      <c r="E18" s="60">
        <v>1301</v>
      </c>
      <c r="F18" s="60">
        <v>1459</v>
      </c>
      <c r="G18" s="60">
        <v>1334</v>
      </c>
      <c r="H18" s="60">
        <v>1540</v>
      </c>
      <c r="I18" s="60">
        <v>1548</v>
      </c>
      <c r="J18" s="60">
        <v>1727</v>
      </c>
      <c r="K18" s="60">
        <v>1654</v>
      </c>
      <c r="L18" s="60">
        <v>1766</v>
      </c>
      <c r="M18" s="60">
        <v>2051</v>
      </c>
      <c r="N18" s="60">
        <v>1757</v>
      </c>
      <c r="O18" s="60">
        <v>2690</v>
      </c>
      <c r="P18" s="27">
        <f t="shared" si="1"/>
        <v>20017</v>
      </c>
    </row>
    <row r="19" spans="1:16" ht="15" customHeight="1" thickBot="1">
      <c r="A19" s="244"/>
      <c r="B19" s="256"/>
      <c r="C19" s="47" t="s">
        <v>25</v>
      </c>
      <c r="D19" s="60">
        <v>1251</v>
      </c>
      <c r="E19" s="60">
        <v>1144</v>
      </c>
      <c r="F19" s="60">
        <v>1371</v>
      </c>
      <c r="G19" s="60">
        <v>1166</v>
      </c>
      <c r="H19" s="60">
        <v>1319</v>
      </c>
      <c r="I19" s="60">
        <v>1349</v>
      </c>
      <c r="J19" s="60">
        <v>1458</v>
      </c>
      <c r="K19" s="60">
        <v>1338</v>
      </c>
      <c r="L19" s="60">
        <v>1277</v>
      </c>
      <c r="M19" s="60">
        <v>1614</v>
      </c>
      <c r="N19" s="60">
        <v>1631</v>
      </c>
      <c r="O19" s="60">
        <v>2420</v>
      </c>
      <c r="P19" s="27">
        <f t="shared" si="1"/>
        <v>17338</v>
      </c>
    </row>
    <row r="20" spans="1:16" ht="15" customHeight="1" thickBot="1">
      <c r="A20" s="244"/>
      <c r="B20" s="256"/>
      <c r="C20" s="47" t="s">
        <v>129</v>
      </c>
      <c r="D20" s="60">
        <v>941</v>
      </c>
      <c r="E20" s="60">
        <v>1048</v>
      </c>
      <c r="F20" s="60">
        <v>1061</v>
      </c>
      <c r="G20" s="60">
        <v>910</v>
      </c>
      <c r="H20" s="60">
        <v>1104</v>
      </c>
      <c r="I20" s="60">
        <v>1144</v>
      </c>
      <c r="J20" s="60">
        <v>1230</v>
      </c>
      <c r="K20" s="60">
        <v>1196</v>
      </c>
      <c r="L20" s="60">
        <v>934</v>
      </c>
      <c r="M20" s="60">
        <v>1412</v>
      </c>
      <c r="N20" s="60">
        <v>1186</v>
      </c>
      <c r="O20" s="60">
        <v>1680</v>
      </c>
      <c r="P20" s="27">
        <f t="shared" si="1"/>
        <v>13846</v>
      </c>
    </row>
    <row r="21" spans="1:16" ht="15" customHeight="1" thickBot="1">
      <c r="A21" s="244"/>
      <c r="B21" s="256"/>
      <c r="C21" s="47" t="s">
        <v>29</v>
      </c>
      <c r="D21" s="60">
        <v>864</v>
      </c>
      <c r="E21" s="60">
        <v>881</v>
      </c>
      <c r="F21" s="60">
        <v>1057</v>
      </c>
      <c r="G21" s="60">
        <v>956</v>
      </c>
      <c r="H21" s="60">
        <v>1055</v>
      </c>
      <c r="I21" s="60">
        <v>1018</v>
      </c>
      <c r="J21" s="60">
        <v>1301</v>
      </c>
      <c r="K21" s="60">
        <v>1264</v>
      </c>
      <c r="L21" s="60">
        <v>1053</v>
      </c>
      <c r="M21" s="60">
        <v>1194</v>
      </c>
      <c r="N21" s="60">
        <v>1072</v>
      </c>
      <c r="O21" s="60">
        <v>1490</v>
      </c>
      <c r="P21" s="27">
        <f t="shared" si="1"/>
        <v>13205</v>
      </c>
    </row>
    <row r="22" spans="1:16" ht="15" customHeight="1" thickBot="1">
      <c r="A22" s="244"/>
      <c r="B22" s="256"/>
      <c r="C22" s="47" t="s">
        <v>28</v>
      </c>
      <c r="D22" s="60">
        <v>784</v>
      </c>
      <c r="E22" s="60">
        <v>722</v>
      </c>
      <c r="F22" s="60">
        <v>989</v>
      </c>
      <c r="G22" s="60">
        <v>915</v>
      </c>
      <c r="H22" s="60">
        <v>929</v>
      </c>
      <c r="I22" s="60">
        <v>1019</v>
      </c>
      <c r="J22" s="60">
        <v>1236</v>
      </c>
      <c r="K22" s="60">
        <v>1239</v>
      </c>
      <c r="L22" s="60">
        <v>1068</v>
      </c>
      <c r="M22" s="60">
        <v>1263</v>
      </c>
      <c r="N22" s="60">
        <v>1096</v>
      </c>
      <c r="O22" s="60">
        <v>1537</v>
      </c>
      <c r="P22" s="27">
        <f t="shared" si="1"/>
        <v>12797</v>
      </c>
    </row>
    <row r="23" spans="1:16" ht="15" customHeight="1" thickBot="1">
      <c r="A23" s="244"/>
      <c r="B23" s="256"/>
      <c r="C23" s="47" t="s">
        <v>130</v>
      </c>
      <c r="D23" s="60">
        <v>766</v>
      </c>
      <c r="E23" s="60">
        <v>744</v>
      </c>
      <c r="F23" s="60">
        <v>835</v>
      </c>
      <c r="G23" s="60">
        <v>823</v>
      </c>
      <c r="H23" s="60">
        <v>844</v>
      </c>
      <c r="I23" s="60">
        <v>766</v>
      </c>
      <c r="J23" s="60">
        <v>967</v>
      </c>
      <c r="K23" s="60">
        <v>1021</v>
      </c>
      <c r="L23" s="60">
        <v>986</v>
      </c>
      <c r="M23" s="60">
        <v>1314</v>
      </c>
      <c r="N23" s="60">
        <v>1060</v>
      </c>
      <c r="O23" s="60">
        <v>1514</v>
      </c>
      <c r="P23" s="27">
        <f t="shared" si="1"/>
        <v>11640</v>
      </c>
    </row>
    <row r="24" spans="1:16" ht="15" customHeight="1" thickBot="1">
      <c r="A24" s="244"/>
      <c r="B24" s="256"/>
      <c r="C24" s="49" t="s">
        <v>30</v>
      </c>
      <c r="D24" s="61">
        <v>551</v>
      </c>
      <c r="E24" s="61">
        <v>613</v>
      </c>
      <c r="F24" s="61">
        <v>691</v>
      </c>
      <c r="G24" s="61">
        <v>589</v>
      </c>
      <c r="H24" s="61">
        <v>689</v>
      </c>
      <c r="I24" s="61">
        <v>640</v>
      </c>
      <c r="J24" s="61">
        <v>884</v>
      </c>
      <c r="K24" s="61">
        <v>878</v>
      </c>
      <c r="L24" s="61">
        <v>889</v>
      </c>
      <c r="M24" s="61">
        <v>998</v>
      </c>
      <c r="N24" s="61">
        <v>739</v>
      </c>
      <c r="O24" s="61">
        <v>997</v>
      </c>
      <c r="P24" s="29">
        <f t="shared" si="1"/>
        <v>9158</v>
      </c>
    </row>
    <row r="25" spans="1:16" ht="15" customHeight="1" thickBot="1">
      <c r="A25" s="244"/>
      <c r="B25" s="256" t="s">
        <v>137</v>
      </c>
      <c r="C25" s="100" t="s">
        <v>83</v>
      </c>
      <c r="D25" s="64">
        <f>SUM(D26:D34)</f>
        <v>477</v>
      </c>
      <c r="E25" s="64">
        <f aca="true" t="shared" si="3" ref="E25:O25">SUM(E26:E34)</f>
        <v>463</v>
      </c>
      <c r="F25" s="64">
        <f t="shared" si="3"/>
        <v>604</v>
      </c>
      <c r="G25" s="64">
        <f t="shared" si="3"/>
        <v>622</v>
      </c>
      <c r="H25" s="64">
        <f t="shared" si="3"/>
        <v>444</v>
      </c>
      <c r="I25" s="64">
        <f t="shared" si="3"/>
        <v>576</v>
      </c>
      <c r="J25" s="64">
        <f t="shared" si="3"/>
        <v>622</v>
      </c>
      <c r="K25" s="64">
        <f t="shared" si="3"/>
        <v>490</v>
      </c>
      <c r="L25" s="64">
        <f t="shared" si="3"/>
        <v>638</v>
      </c>
      <c r="M25" s="64">
        <f t="shared" si="3"/>
        <v>645</v>
      </c>
      <c r="N25" s="64">
        <f t="shared" si="3"/>
        <v>900</v>
      </c>
      <c r="O25" s="64">
        <f t="shared" si="3"/>
        <v>745</v>
      </c>
      <c r="P25" s="65">
        <f t="shared" si="1"/>
        <v>7226</v>
      </c>
    </row>
    <row r="26" spans="1:16" ht="15" customHeight="1" thickBot="1">
      <c r="A26" s="244"/>
      <c r="B26" s="256"/>
      <c r="C26" s="51" t="s">
        <v>125</v>
      </c>
      <c r="D26" s="58">
        <v>115</v>
      </c>
      <c r="E26" s="58">
        <v>119</v>
      </c>
      <c r="F26" s="58">
        <v>157</v>
      </c>
      <c r="G26" s="58">
        <v>153</v>
      </c>
      <c r="H26" s="58">
        <v>87</v>
      </c>
      <c r="I26" s="58">
        <v>125</v>
      </c>
      <c r="J26" s="58">
        <v>170</v>
      </c>
      <c r="K26" s="58">
        <v>107</v>
      </c>
      <c r="L26" s="58">
        <v>162</v>
      </c>
      <c r="M26" s="58">
        <v>149</v>
      </c>
      <c r="N26" s="58">
        <v>124</v>
      </c>
      <c r="O26" s="58">
        <v>218</v>
      </c>
      <c r="P26" s="59">
        <f t="shared" si="1"/>
        <v>1686</v>
      </c>
    </row>
    <row r="27" spans="1:16" ht="15" customHeight="1" thickBot="1">
      <c r="A27" s="244"/>
      <c r="B27" s="256"/>
      <c r="C27" s="47" t="s">
        <v>130</v>
      </c>
      <c r="D27" s="60">
        <v>46</v>
      </c>
      <c r="E27" s="60">
        <v>39</v>
      </c>
      <c r="F27" s="60">
        <v>63</v>
      </c>
      <c r="G27" s="60">
        <v>50</v>
      </c>
      <c r="H27" s="60">
        <v>54</v>
      </c>
      <c r="I27" s="60">
        <v>55</v>
      </c>
      <c r="J27" s="60">
        <v>79</v>
      </c>
      <c r="K27" s="60">
        <v>53</v>
      </c>
      <c r="L27" s="60">
        <v>66</v>
      </c>
      <c r="M27" s="60">
        <v>97</v>
      </c>
      <c r="N27" s="60">
        <v>406</v>
      </c>
      <c r="O27" s="60">
        <v>62</v>
      </c>
      <c r="P27" s="27">
        <f t="shared" si="1"/>
        <v>1070</v>
      </c>
    </row>
    <row r="28" spans="1:16" ht="15" customHeight="1" thickBot="1">
      <c r="A28" s="244"/>
      <c r="B28" s="256"/>
      <c r="C28" s="47" t="s">
        <v>28</v>
      </c>
      <c r="D28" s="60">
        <v>108</v>
      </c>
      <c r="E28" s="60">
        <v>47</v>
      </c>
      <c r="F28" s="60">
        <v>71</v>
      </c>
      <c r="G28" s="60">
        <v>57</v>
      </c>
      <c r="H28" s="60">
        <v>58</v>
      </c>
      <c r="I28" s="60">
        <v>112</v>
      </c>
      <c r="J28" s="60">
        <v>81</v>
      </c>
      <c r="K28" s="60">
        <v>87</v>
      </c>
      <c r="L28" s="60">
        <v>67</v>
      </c>
      <c r="M28" s="60">
        <v>97</v>
      </c>
      <c r="N28" s="60">
        <v>59</v>
      </c>
      <c r="O28" s="60">
        <v>102</v>
      </c>
      <c r="P28" s="27">
        <f t="shared" si="1"/>
        <v>946</v>
      </c>
    </row>
    <row r="29" spans="1:16" ht="15" customHeight="1" thickBot="1">
      <c r="A29" s="244"/>
      <c r="B29" s="256"/>
      <c r="C29" s="47" t="s">
        <v>29</v>
      </c>
      <c r="D29" s="60">
        <v>66</v>
      </c>
      <c r="E29" s="60">
        <v>88</v>
      </c>
      <c r="F29" s="60">
        <v>68</v>
      </c>
      <c r="G29" s="60">
        <v>129</v>
      </c>
      <c r="H29" s="60">
        <v>74</v>
      </c>
      <c r="I29" s="60">
        <v>52</v>
      </c>
      <c r="J29" s="60">
        <v>104</v>
      </c>
      <c r="K29" s="60">
        <v>61</v>
      </c>
      <c r="L29" s="60">
        <v>87</v>
      </c>
      <c r="M29" s="60">
        <v>56</v>
      </c>
      <c r="N29" s="60">
        <v>84</v>
      </c>
      <c r="O29" s="60">
        <v>77</v>
      </c>
      <c r="P29" s="27">
        <f t="shared" si="1"/>
        <v>946</v>
      </c>
    </row>
    <row r="30" spans="1:16" ht="15" customHeight="1" thickBot="1">
      <c r="A30" s="244"/>
      <c r="B30" s="256"/>
      <c r="C30" s="47" t="s">
        <v>127</v>
      </c>
      <c r="D30" s="60">
        <v>40</v>
      </c>
      <c r="E30" s="60">
        <v>45</v>
      </c>
      <c r="F30" s="60">
        <v>55</v>
      </c>
      <c r="G30" s="60">
        <v>65</v>
      </c>
      <c r="H30" s="60">
        <v>31</v>
      </c>
      <c r="I30" s="60">
        <v>58</v>
      </c>
      <c r="J30" s="60">
        <v>41</v>
      </c>
      <c r="K30" s="60">
        <v>53</v>
      </c>
      <c r="L30" s="60">
        <v>73</v>
      </c>
      <c r="M30" s="60">
        <v>94</v>
      </c>
      <c r="N30" s="60">
        <v>50</v>
      </c>
      <c r="O30" s="60">
        <v>90</v>
      </c>
      <c r="P30" s="27">
        <f t="shared" si="1"/>
        <v>695</v>
      </c>
    </row>
    <row r="31" spans="1:16" ht="15" customHeight="1" thickBot="1">
      <c r="A31" s="244"/>
      <c r="B31" s="256"/>
      <c r="C31" s="47" t="s">
        <v>30</v>
      </c>
      <c r="D31" s="60">
        <v>38</v>
      </c>
      <c r="E31" s="60">
        <v>22</v>
      </c>
      <c r="F31" s="60">
        <v>46</v>
      </c>
      <c r="G31" s="60">
        <v>42</v>
      </c>
      <c r="H31" s="60">
        <v>42</v>
      </c>
      <c r="I31" s="60">
        <v>52</v>
      </c>
      <c r="J31" s="60">
        <v>41</v>
      </c>
      <c r="K31" s="60">
        <v>36</v>
      </c>
      <c r="L31" s="60">
        <v>72</v>
      </c>
      <c r="M31" s="60">
        <v>34</v>
      </c>
      <c r="N31" s="60">
        <v>55</v>
      </c>
      <c r="O31" s="60">
        <v>57</v>
      </c>
      <c r="P31" s="27">
        <f t="shared" si="1"/>
        <v>537</v>
      </c>
    </row>
    <row r="32" spans="1:16" ht="15" customHeight="1" thickBot="1">
      <c r="A32" s="244"/>
      <c r="B32" s="256"/>
      <c r="C32" s="47" t="s">
        <v>129</v>
      </c>
      <c r="D32" s="60">
        <v>23</v>
      </c>
      <c r="E32" s="60">
        <v>38</v>
      </c>
      <c r="F32" s="60">
        <v>49</v>
      </c>
      <c r="G32" s="60">
        <v>53</v>
      </c>
      <c r="H32" s="60">
        <v>29</v>
      </c>
      <c r="I32" s="60">
        <v>39</v>
      </c>
      <c r="J32" s="60">
        <v>54</v>
      </c>
      <c r="K32" s="60">
        <v>25</v>
      </c>
      <c r="L32" s="60">
        <v>49</v>
      </c>
      <c r="M32" s="60">
        <v>51</v>
      </c>
      <c r="N32" s="60">
        <v>46</v>
      </c>
      <c r="O32" s="60">
        <v>62</v>
      </c>
      <c r="P32" s="27">
        <f t="shared" si="1"/>
        <v>518</v>
      </c>
    </row>
    <row r="33" spans="1:16" ht="15" customHeight="1" thickBot="1">
      <c r="A33" s="244"/>
      <c r="B33" s="256"/>
      <c r="C33" s="48" t="s">
        <v>128</v>
      </c>
      <c r="D33" s="60">
        <v>19</v>
      </c>
      <c r="E33" s="60">
        <v>35</v>
      </c>
      <c r="F33" s="60">
        <v>45</v>
      </c>
      <c r="G33" s="60">
        <v>41</v>
      </c>
      <c r="H33" s="60">
        <v>41</v>
      </c>
      <c r="I33" s="60">
        <v>41</v>
      </c>
      <c r="J33" s="60">
        <v>27</v>
      </c>
      <c r="K33" s="60">
        <v>31</v>
      </c>
      <c r="L33" s="60">
        <v>45</v>
      </c>
      <c r="M33" s="60">
        <v>30</v>
      </c>
      <c r="N33" s="60">
        <v>44</v>
      </c>
      <c r="O33" s="60">
        <v>43</v>
      </c>
      <c r="P33" s="27">
        <f t="shared" si="1"/>
        <v>442</v>
      </c>
    </row>
    <row r="34" spans="1:16" ht="15" customHeight="1" thickBot="1">
      <c r="A34" s="245"/>
      <c r="B34" s="256"/>
      <c r="C34" s="49" t="s">
        <v>25</v>
      </c>
      <c r="D34" s="61">
        <v>22</v>
      </c>
      <c r="E34" s="61">
        <v>30</v>
      </c>
      <c r="F34" s="61">
        <v>50</v>
      </c>
      <c r="G34" s="61">
        <v>32</v>
      </c>
      <c r="H34" s="61">
        <v>28</v>
      </c>
      <c r="I34" s="61">
        <v>42</v>
      </c>
      <c r="J34" s="61">
        <v>25</v>
      </c>
      <c r="K34" s="61">
        <v>37</v>
      </c>
      <c r="L34" s="61">
        <v>17</v>
      </c>
      <c r="M34" s="61">
        <v>37</v>
      </c>
      <c r="N34" s="61">
        <v>32</v>
      </c>
      <c r="O34" s="61">
        <v>34</v>
      </c>
      <c r="P34" s="29">
        <f t="shared" si="1"/>
        <v>386</v>
      </c>
    </row>
    <row r="35" spans="1:11" s="3" customFormat="1" ht="13.5" customHeight="1">
      <c r="A35" s="11" t="s">
        <v>124</v>
      </c>
      <c r="B35" s="6"/>
      <c r="C35" s="16"/>
      <c r="K35" s="107" t="s">
        <v>11</v>
      </c>
    </row>
  </sheetData>
  <sheetProtection/>
  <mergeCells count="5">
    <mergeCell ref="D3:P3"/>
    <mergeCell ref="B5:B14"/>
    <mergeCell ref="B15:B24"/>
    <mergeCell ref="B25:B34"/>
    <mergeCell ref="A5:A34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2" customWidth="1"/>
    <col min="2" max="2" width="5.00390625" style="2" customWidth="1"/>
    <col min="3" max="3" width="16.421875" style="2" customWidth="1"/>
    <col min="4" max="16" width="8.7109375" style="2" customWidth="1"/>
    <col min="17" max="16384" width="9.140625" style="2" customWidth="1"/>
  </cols>
  <sheetData>
    <row r="1" spans="1:16" ht="19.5" customHeight="1">
      <c r="A1" s="176" t="s">
        <v>159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ht="6.75" customHeight="1" thickBot="1"/>
    <row r="3" spans="3:16" ht="13.5" customHeight="1" thickBot="1">
      <c r="C3" s="17"/>
      <c r="D3" s="242">
        <v>2009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</row>
    <row r="4" spans="3:16" ht="13.5" customHeight="1" thickBot="1">
      <c r="C4" s="17"/>
      <c r="D4" s="172" t="s">
        <v>149</v>
      </c>
      <c r="E4" s="172" t="s">
        <v>150</v>
      </c>
      <c r="F4" s="172" t="s">
        <v>14</v>
      </c>
      <c r="G4" s="172" t="s">
        <v>15</v>
      </c>
      <c r="H4" s="172" t="s">
        <v>16</v>
      </c>
      <c r="I4" s="172" t="s">
        <v>17</v>
      </c>
      <c r="J4" s="172" t="s">
        <v>18</v>
      </c>
      <c r="K4" s="172" t="s">
        <v>151</v>
      </c>
      <c r="L4" s="172" t="s">
        <v>152</v>
      </c>
      <c r="M4" s="172" t="s">
        <v>153</v>
      </c>
      <c r="N4" s="172" t="s">
        <v>154</v>
      </c>
      <c r="O4" s="172" t="s">
        <v>155</v>
      </c>
      <c r="P4" s="172" t="s">
        <v>24</v>
      </c>
    </row>
    <row r="5" spans="1:16" ht="11.25" customHeight="1" thickBot="1">
      <c r="A5" s="243" t="s">
        <v>139</v>
      </c>
      <c r="B5" s="246" t="s">
        <v>138</v>
      </c>
      <c r="C5" s="53" t="s">
        <v>173</v>
      </c>
      <c r="D5" s="67">
        <f aca="true" t="shared" si="0" ref="D5:O5">SUM(D6:D14)</f>
        <v>38073</v>
      </c>
      <c r="E5" s="67">
        <f t="shared" si="0"/>
        <v>31943</v>
      </c>
      <c r="F5" s="67">
        <f t="shared" si="0"/>
        <v>42853</v>
      </c>
      <c r="G5" s="67">
        <f t="shared" si="0"/>
        <v>35374</v>
      </c>
      <c r="H5" s="67">
        <f t="shared" si="0"/>
        <v>45488</v>
      </c>
      <c r="I5" s="67">
        <f t="shared" si="0"/>
        <v>51592</v>
      </c>
      <c r="J5" s="67">
        <f t="shared" si="0"/>
        <v>55313</v>
      </c>
      <c r="K5" s="67">
        <f t="shared" si="0"/>
        <v>57027</v>
      </c>
      <c r="L5" s="67">
        <f t="shared" si="0"/>
        <v>58846</v>
      </c>
      <c r="M5" s="67">
        <f t="shared" si="0"/>
        <v>69408</v>
      </c>
      <c r="N5" s="67">
        <f t="shared" si="0"/>
        <v>71294</v>
      </c>
      <c r="O5" s="67">
        <f t="shared" si="0"/>
        <v>104242</v>
      </c>
      <c r="P5" s="68">
        <f aca="true" t="shared" si="1" ref="P5:P44">SUM(D5:O5)</f>
        <v>661453</v>
      </c>
    </row>
    <row r="6" spans="1:16" ht="11.25" customHeight="1">
      <c r="A6" s="244"/>
      <c r="B6" s="257"/>
      <c r="C6" s="51" t="s">
        <v>25</v>
      </c>
      <c r="D6" s="58">
        <v>11596</v>
      </c>
      <c r="E6" s="58">
        <v>9691</v>
      </c>
      <c r="F6" s="58">
        <v>15312</v>
      </c>
      <c r="G6" s="58">
        <v>10543</v>
      </c>
      <c r="H6" s="58">
        <v>14407</v>
      </c>
      <c r="I6" s="58">
        <v>17444</v>
      </c>
      <c r="J6" s="58">
        <v>14550</v>
      </c>
      <c r="K6" s="58">
        <v>15232</v>
      </c>
      <c r="L6" s="58">
        <v>16671</v>
      </c>
      <c r="M6" s="58">
        <v>17623</v>
      </c>
      <c r="N6" s="58">
        <v>28542</v>
      </c>
      <c r="O6" s="58">
        <v>33445</v>
      </c>
      <c r="P6" s="59">
        <f t="shared" si="1"/>
        <v>205056</v>
      </c>
    </row>
    <row r="7" spans="1:16" ht="11.25" customHeight="1">
      <c r="A7" s="244"/>
      <c r="B7" s="257"/>
      <c r="C7" s="47" t="s">
        <v>125</v>
      </c>
      <c r="D7" s="60">
        <v>8159</v>
      </c>
      <c r="E7" s="60">
        <v>6723</v>
      </c>
      <c r="F7" s="60">
        <v>8131</v>
      </c>
      <c r="G7" s="60">
        <v>7273</v>
      </c>
      <c r="H7" s="60">
        <v>9513</v>
      </c>
      <c r="I7" s="60">
        <v>10705</v>
      </c>
      <c r="J7" s="60">
        <v>11993</v>
      </c>
      <c r="K7" s="60">
        <v>13685</v>
      </c>
      <c r="L7" s="60">
        <v>13279</v>
      </c>
      <c r="M7" s="60">
        <v>16628</v>
      </c>
      <c r="N7" s="60">
        <v>13336</v>
      </c>
      <c r="O7" s="60">
        <v>23229</v>
      </c>
      <c r="P7" s="27">
        <f t="shared" si="1"/>
        <v>142654</v>
      </c>
    </row>
    <row r="8" spans="1:16" ht="11.25" customHeight="1">
      <c r="A8" s="244"/>
      <c r="B8" s="257"/>
      <c r="C8" s="48" t="s">
        <v>128</v>
      </c>
      <c r="D8" s="60">
        <v>6675</v>
      </c>
      <c r="E8" s="60">
        <v>6200</v>
      </c>
      <c r="F8" s="60">
        <v>6803</v>
      </c>
      <c r="G8" s="60">
        <v>6115</v>
      </c>
      <c r="H8" s="60">
        <v>8837</v>
      </c>
      <c r="I8" s="60">
        <v>8246</v>
      </c>
      <c r="J8" s="60">
        <v>11897</v>
      </c>
      <c r="K8" s="60">
        <v>11043</v>
      </c>
      <c r="L8" s="60">
        <v>12693</v>
      </c>
      <c r="M8" s="60">
        <v>14938</v>
      </c>
      <c r="N8" s="60">
        <v>10030</v>
      </c>
      <c r="O8" s="60">
        <v>19838</v>
      </c>
      <c r="P8" s="27">
        <f t="shared" si="1"/>
        <v>123315</v>
      </c>
    </row>
    <row r="9" spans="1:16" ht="11.25" customHeight="1">
      <c r="A9" s="244"/>
      <c r="B9" s="257"/>
      <c r="C9" s="47" t="s">
        <v>127</v>
      </c>
      <c r="D9" s="60">
        <v>3484</v>
      </c>
      <c r="E9" s="60">
        <v>3349</v>
      </c>
      <c r="F9" s="60">
        <v>4436</v>
      </c>
      <c r="G9" s="60">
        <v>4156</v>
      </c>
      <c r="H9" s="60">
        <v>4160</v>
      </c>
      <c r="I9" s="60">
        <v>5569</v>
      </c>
      <c r="J9" s="60">
        <v>6652</v>
      </c>
      <c r="K9" s="60">
        <v>6048</v>
      </c>
      <c r="L9" s="60">
        <v>5970</v>
      </c>
      <c r="M9" s="60">
        <v>6986</v>
      </c>
      <c r="N9" s="60">
        <v>9076</v>
      </c>
      <c r="O9" s="60">
        <v>12378</v>
      </c>
      <c r="P9" s="27">
        <f t="shared" si="1"/>
        <v>72264</v>
      </c>
    </row>
    <row r="10" spans="1:16" ht="11.25" customHeight="1">
      <c r="A10" s="244"/>
      <c r="B10" s="257"/>
      <c r="C10" s="47" t="s">
        <v>29</v>
      </c>
      <c r="D10" s="60">
        <v>2355</v>
      </c>
      <c r="E10" s="60">
        <v>1567</v>
      </c>
      <c r="F10" s="60">
        <v>2706</v>
      </c>
      <c r="G10" s="60">
        <v>2507</v>
      </c>
      <c r="H10" s="60">
        <v>2599</v>
      </c>
      <c r="I10" s="60">
        <v>4172</v>
      </c>
      <c r="J10" s="60">
        <v>3216</v>
      </c>
      <c r="K10" s="60">
        <v>4144</v>
      </c>
      <c r="L10" s="60">
        <v>2315</v>
      </c>
      <c r="M10" s="60">
        <v>3083</v>
      </c>
      <c r="N10" s="60">
        <v>2813</v>
      </c>
      <c r="O10" s="60">
        <v>3710</v>
      </c>
      <c r="P10" s="27">
        <f t="shared" si="1"/>
        <v>35187</v>
      </c>
    </row>
    <row r="11" spans="1:16" ht="11.25" customHeight="1">
      <c r="A11" s="244"/>
      <c r="B11" s="257"/>
      <c r="C11" s="47" t="s">
        <v>129</v>
      </c>
      <c r="D11" s="60">
        <v>2618</v>
      </c>
      <c r="E11" s="60">
        <v>1785</v>
      </c>
      <c r="F11" s="60">
        <v>1796</v>
      </c>
      <c r="G11" s="60">
        <v>1310</v>
      </c>
      <c r="H11" s="60">
        <v>1866</v>
      </c>
      <c r="I11" s="60">
        <v>1773</v>
      </c>
      <c r="J11" s="60">
        <v>2367</v>
      </c>
      <c r="K11" s="60">
        <v>2125</v>
      </c>
      <c r="L11" s="60">
        <v>2643</v>
      </c>
      <c r="M11" s="60">
        <v>3768</v>
      </c>
      <c r="N11" s="60">
        <v>2410</v>
      </c>
      <c r="O11" s="60">
        <v>3898</v>
      </c>
      <c r="P11" s="27">
        <f t="shared" si="1"/>
        <v>28359</v>
      </c>
    </row>
    <row r="12" spans="1:16" ht="11.25" customHeight="1">
      <c r="A12" s="244"/>
      <c r="B12" s="257"/>
      <c r="C12" s="47" t="s">
        <v>28</v>
      </c>
      <c r="D12" s="60">
        <v>1029</v>
      </c>
      <c r="E12" s="60">
        <v>982</v>
      </c>
      <c r="F12" s="60">
        <v>1651</v>
      </c>
      <c r="G12" s="60">
        <v>1588</v>
      </c>
      <c r="H12" s="60">
        <v>1521</v>
      </c>
      <c r="I12" s="60">
        <v>1528</v>
      </c>
      <c r="J12" s="60">
        <v>1817</v>
      </c>
      <c r="K12" s="60">
        <v>2018</v>
      </c>
      <c r="L12" s="60">
        <v>1504</v>
      </c>
      <c r="M12" s="60">
        <v>2514</v>
      </c>
      <c r="N12" s="60">
        <v>1978</v>
      </c>
      <c r="O12" s="60">
        <v>3232</v>
      </c>
      <c r="P12" s="27">
        <f t="shared" si="1"/>
        <v>21362</v>
      </c>
    </row>
    <row r="13" spans="1:16" ht="11.25" customHeight="1">
      <c r="A13" s="244"/>
      <c r="B13" s="257"/>
      <c r="C13" s="47" t="s">
        <v>130</v>
      </c>
      <c r="D13" s="60">
        <v>918</v>
      </c>
      <c r="E13" s="60">
        <v>893</v>
      </c>
      <c r="F13" s="60">
        <v>970</v>
      </c>
      <c r="G13" s="60">
        <v>1055</v>
      </c>
      <c r="H13" s="60">
        <v>1597</v>
      </c>
      <c r="I13" s="60">
        <v>1123</v>
      </c>
      <c r="J13" s="60">
        <v>1438</v>
      </c>
      <c r="K13" s="60">
        <v>1421</v>
      </c>
      <c r="L13" s="60">
        <v>2344</v>
      </c>
      <c r="M13" s="60">
        <v>2166</v>
      </c>
      <c r="N13" s="60">
        <v>1747</v>
      </c>
      <c r="O13" s="60">
        <v>2470</v>
      </c>
      <c r="P13" s="27">
        <f t="shared" si="1"/>
        <v>18142</v>
      </c>
    </row>
    <row r="14" spans="1:16" ht="11.25" customHeight="1" thickBot="1">
      <c r="A14" s="244"/>
      <c r="B14" s="258"/>
      <c r="C14" s="49" t="s">
        <v>30</v>
      </c>
      <c r="D14" s="61">
        <v>1239</v>
      </c>
      <c r="E14" s="61">
        <v>753</v>
      </c>
      <c r="F14" s="61">
        <v>1048</v>
      </c>
      <c r="G14" s="61">
        <v>827</v>
      </c>
      <c r="H14" s="61">
        <v>988</v>
      </c>
      <c r="I14" s="61">
        <v>1032</v>
      </c>
      <c r="J14" s="61">
        <v>1383</v>
      </c>
      <c r="K14" s="61">
        <v>1311</v>
      </c>
      <c r="L14" s="61">
        <v>1427</v>
      </c>
      <c r="M14" s="61">
        <v>1702</v>
      </c>
      <c r="N14" s="61">
        <v>1362</v>
      </c>
      <c r="O14" s="61">
        <v>2042</v>
      </c>
      <c r="P14" s="29">
        <f t="shared" si="1"/>
        <v>15114</v>
      </c>
    </row>
    <row r="15" spans="1:16" ht="11.25" customHeight="1" thickBot="1">
      <c r="A15" s="244"/>
      <c r="B15" s="249" t="s">
        <v>140</v>
      </c>
      <c r="C15" s="53" t="s">
        <v>173</v>
      </c>
      <c r="D15" s="67">
        <f aca="true" t="shared" si="2" ref="D15:O15">SUM(D16:D24)</f>
        <v>3094</v>
      </c>
      <c r="E15" s="67">
        <f t="shared" si="2"/>
        <v>3498.3</v>
      </c>
      <c r="F15" s="67">
        <f t="shared" si="2"/>
        <v>4659</v>
      </c>
      <c r="G15" s="67">
        <f t="shared" si="2"/>
        <v>3279</v>
      </c>
      <c r="H15" s="67">
        <f t="shared" si="2"/>
        <v>5507</v>
      </c>
      <c r="I15" s="67">
        <f t="shared" si="2"/>
        <v>7078</v>
      </c>
      <c r="J15" s="67">
        <f t="shared" si="2"/>
        <v>6356</v>
      </c>
      <c r="K15" s="67">
        <f t="shared" si="2"/>
        <v>4790</v>
      </c>
      <c r="L15" s="67">
        <f t="shared" si="2"/>
        <v>3997</v>
      </c>
      <c r="M15" s="67">
        <f t="shared" si="2"/>
        <v>5972</v>
      </c>
      <c r="N15" s="67">
        <f t="shared" si="2"/>
        <v>6149</v>
      </c>
      <c r="O15" s="67">
        <f t="shared" si="2"/>
        <v>8565</v>
      </c>
      <c r="P15" s="68">
        <f t="shared" si="1"/>
        <v>62944.3</v>
      </c>
    </row>
    <row r="16" spans="1:16" ht="11.25" customHeight="1">
      <c r="A16" s="244"/>
      <c r="B16" s="250"/>
      <c r="C16" s="51" t="s">
        <v>25</v>
      </c>
      <c r="D16" s="58">
        <v>1932</v>
      </c>
      <c r="E16" s="58">
        <v>2370</v>
      </c>
      <c r="F16" s="58">
        <v>3402</v>
      </c>
      <c r="G16" s="58">
        <v>2111</v>
      </c>
      <c r="H16" s="58">
        <v>3713</v>
      </c>
      <c r="I16" s="58">
        <v>4962</v>
      </c>
      <c r="J16" s="58">
        <v>3784</v>
      </c>
      <c r="K16" s="58">
        <v>3325</v>
      </c>
      <c r="L16" s="58">
        <v>2035</v>
      </c>
      <c r="M16" s="58">
        <v>2106</v>
      </c>
      <c r="N16" s="58">
        <v>4701</v>
      </c>
      <c r="O16" s="58">
        <v>5609</v>
      </c>
      <c r="P16" s="59">
        <f t="shared" si="1"/>
        <v>40050</v>
      </c>
    </row>
    <row r="17" spans="1:16" ht="11.25" customHeight="1">
      <c r="A17" s="244"/>
      <c r="B17" s="250"/>
      <c r="C17" s="47" t="s">
        <v>125</v>
      </c>
      <c r="D17" s="60">
        <v>473</v>
      </c>
      <c r="E17" s="60">
        <v>561</v>
      </c>
      <c r="F17" s="60">
        <v>595</v>
      </c>
      <c r="G17" s="60">
        <v>587</v>
      </c>
      <c r="H17" s="60">
        <v>673</v>
      </c>
      <c r="I17" s="60">
        <v>1327</v>
      </c>
      <c r="J17" s="60">
        <v>992</v>
      </c>
      <c r="K17" s="60">
        <v>648</v>
      </c>
      <c r="L17" s="60">
        <v>1062</v>
      </c>
      <c r="M17" s="60">
        <v>2334</v>
      </c>
      <c r="N17" s="60">
        <v>666</v>
      </c>
      <c r="O17" s="60">
        <v>1381</v>
      </c>
      <c r="P17" s="27">
        <f t="shared" si="1"/>
        <v>11299</v>
      </c>
    </row>
    <row r="18" spans="1:16" ht="11.25" customHeight="1">
      <c r="A18" s="244"/>
      <c r="B18" s="250"/>
      <c r="C18" s="48" t="s">
        <v>128</v>
      </c>
      <c r="D18" s="60">
        <v>403</v>
      </c>
      <c r="E18" s="60">
        <v>266</v>
      </c>
      <c r="F18" s="60">
        <v>325</v>
      </c>
      <c r="G18" s="60">
        <v>340</v>
      </c>
      <c r="H18" s="60">
        <v>694</v>
      </c>
      <c r="I18" s="60">
        <v>614</v>
      </c>
      <c r="J18" s="60">
        <v>769</v>
      </c>
      <c r="K18" s="60">
        <v>396</v>
      </c>
      <c r="L18" s="60">
        <v>485</v>
      </c>
      <c r="M18" s="60">
        <v>1079</v>
      </c>
      <c r="N18" s="60">
        <v>378</v>
      </c>
      <c r="O18" s="60">
        <v>901</v>
      </c>
      <c r="P18" s="27">
        <f t="shared" si="1"/>
        <v>6650</v>
      </c>
    </row>
    <row r="19" spans="1:16" ht="11.25" customHeight="1">
      <c r="A19" s="244"/>
      <c r="B19" s="250"/>
      <c r="C19" s="47" t="s">
        <v>127</v>
      </c>
      <c r="D19" s="60">
        <v>176</v>
      </c>
      <c r="E19" s="60">
        <v>266</v>
      </c>
      <c r="F19" s="60">
        <v>237</v>
      </c>
      <c r="G19" s="60">
        <v>133</v>
      </c>
      <c r="H19" s="60">
        <v>264</v>
      </c>
      <c r="I19" s="60">
        <v>121</v>
      </c>
      <c r="J19" s="60">
        <v>343</v>
      </c>
      <c r="K19" s="60">
        <v>230</v>
      </c>
      <c r="L19" s="60">
        <v>211</v>
      </c>
      <c r="M19" s="60">
        <v>248</v>
      </c>
      <c r="N19" s="60">
        <v>293</v>
      </c>
      <c r="O19" s="60">
        <v>558</v>
      </c>
      <c r="P19" s="27">
        <f t="shared" si="1"/>
        <v>3080</v>
      </c>
    </row>
    <row r="20" spans="1:16" ht="11.25" customHeight="1">
      <c r="A20" s="244"/>
      <c r="B20" s="250"/>
      <c r="C20" s="47" t="s">
        <v>29</v>
      </c>
      <c r="D20" s="60">
        <v>48</v>
      </c>
      <c r="E20" s="60">
        <v>19</v>
      </c>
      <c r="F20" s="60">
        <v>25</v>
      </c>
      <c r="G20" s="60">
        <v>52</v>
      </c>
      <c r="H20" s="60">
        <v>70</v>
      </c>
      <c r="I20" s="60">
        <v>13</v>
      </c>
      <c r="J20" s="60">
        <v>92</v>
      </c>
      <c r="K20" s="60">
        <v>38</v>
      </c>
      <c r="L20" s="60">
        <v>31</v>
      </c>
      <c r="M20" s="60">
        <v>76</v>
      </c>
      <c r="N20" s="60">
        <v>62</v>
      </c>
      <c r="O20" s="60">
        <v>29</v>
      </c>
      <c r="P20" s="27">
        <f t="shared" si="1"/>
        <v>555</v>
      </c>
    </row>
    <row r="21" spans="1:16" ht="11.25" customHeight="1">
      <c r="A21" s="244"/>
      <c r="B21" s="250"/>
      <c r="C21" s="47" t="s">
        <v>28</v>
      </c>
      <c r="D21" s="60">
        <v>8</v>
      </c>
      <c r="E21" s="60">
        <v>10</v>
      </c>
      <c r="F21" s="60">
        <v>55</v>
      </c>
      <c r="G21" s="60">
        <v>34</v>
      </c>
      <c r="H21" s="60">
        <v>43</v>
      </c>
      <c r="I21" s="60">
        <v>13</v>
      </c>
      <c r="J21" s="60">
        <v>22</v>
      </c>
      <c r="K21" s="60">
        <v>119</v>
      </c>
      <c r="L21" s="60">
        <v>146</v>
      </c>
      <c r="M21" s="60">
        <v>19</v>
      </c>
      <c r="N21" s="60">
        <v>23</v>
      </c>
      <c r="O21" s="60">
        <v>51</v>
      </c>
      <c r="P21" s="27">
        <f t="shared" si="1"/>
        <v>543</v>
      </c>
    </row>
    <row r="22" spans="1:16" ht="11.25" customHeight="1">
      <c r="A22" s="244"/>
      <c r="B22" s="250"/>
      <c r="C22" s="47" t="s">
        <v>129</v>
      </c>
      <c r="D22" s="60">
        <v>18</v>
      </c>
      <c r="E22" s="60">
        <v>6</v>
      </c>
      <c r="F22" s="60">
        <v>16</v>
      </c>
      <c r="G22" s="60">
        <v>20</v>
      </c>
      <c r="H22" s="60">
        <v>23</v>
      </c>
      <c r="I22" s="60">
        <v>18</v>
      </c>
      <c r="J22" s="60">
        <v>290</v>
      </c>
      <c r="K22" s="60">
        <v>30</v>
      </c>
      <c r="L22" s="60">
        <v>24</v>
      </c>
      <c r="M22" s="60">
        <v>26</v>
      </c>
      <c r="N22" s="60">
        <v>21</v>
      </c>
      <c r="O22" s="60">
        <v>19</v>
      </c>
      <c r="P22" s="27">
        <f t="shared" si="1"/>
        <v>511</v>
      </c>
    </row>
    <row r="23" spans="1:16" ht="11.25" customHeight="1">
      <c r="A23" s="244"/>
      <c r="B23" s="250"/>
      <c r="C23" s="47" t="s">
        <v>30</v>
      </c>
      <c r="D23" s="60">
        <v>31</v>
      </c>
      <c r="E23" s="60">
        <v>0.3</v>
      </c>
      <c r="F23" s="60">
        <v>0</v>
      </c>
      <c r="G23" s="60">
        <v>0</v>
      </c>
      <c r="H23" s="60">
        <v>0</v>
      </c>
      <c r="I23" s="60">
        <v>6</v>
      </c>
      <c r="J23" s="60">
        <v>1</v>
      </c>
      <c r="K23" s="60">
        <v>4</v>
      </c>
      <c r="L23" s="60">
        <v>0</v>
      </c>
      <c r="M23" s="60">
        <v>78</v>
      </c>
      <c r="N23" s="60">
        <v>3</v>
      </c>
      <c r="O23" s="60">
        <v>10</v>
      </c>
      <c r="P23" s="27">
        <f t="shared" si="1"/>
        <v>133.3</v>
      </c>
    </row>
    <row r="24" spans="1:16" ht="11.25" customHeight="1" thickBot="1">
      <c r="A24" s="244"/>
      <c r="B24" s="251"/>
      <c r="C24" s="49" t="s">
        <v>130</v>
      </c>
      <c r="D24" s="61">
        <v>5</v>
      </c>
      <c r="E24" s="61">
        <v>0</v>
      </c>
      <c r="F24" s="61">
        <v>4</v>
      </c>
      <c r="G24" s="61">
        <v>2</v>
      </c>
      <c r="H24" s="61">
        <v>27</v>
      </c>
      <c r="I24" s="61">
        <v>4</v>
      </c>
      <c r="J24" s="61">
        <v>63</v>
      </c>
      <c r="K24" s="61">
        <v>0</v>
      </c>
      <c r="L24" s="61">
        <v>3</v>
      </c>
      <c r="M24" s="61">
        <v>6</v>
      </c>
      <c r="N24" s="61">
        <v>2</v>
      </c>
      <c r="O24" s="61">
        <v>7</v>
      </c>
      <c r="P24" s="29">
        <f t="shared" si="1"/>
        <v>123</v>
      </c>
    </row>
    <row r="25" spans="1:16" ht="11.25" customHeight="1" thickBot="1">
      <c r="A25" s="244"/>
      <c r="B25" s="249" t="s">
        <v>141</v>
      </c>
      <c r="C25" s="53" t="s">
        <v>173</v>
      </c>
      <c r="D25" s="64">
        <f>SUM(D26:D34)</f>
        <v>32032</v>
      </c>
      <c r="E25" s="64">
        <f aca="true" t="shared" si="3" ref="E25:O25">SUM(E26:E34)</f>
        <v>26795</v>
      </c>
      <c r="F25" s="64">
        <f t="shared" si="3"/>
        <v>32627</v>
      </c>
      <c r="G25" s="64">
        <f t="shared" si="3"/>
        <v>30385</v>
      </c>
      <c r="H25" s="64">
        <f t="shared" si="3"/>
        <v>39929</v>
      </c>
      <c r="I25" s="64">
        <f t="shared" si="3"/>
        <v>45019</v>
      </c>
      <c r="J25" s="64">
        <f t="shared" si="3"/>
        <v>46661</v>
      </c>
      <c r="K25" s="64">
        <f t="shared" si="3"/>
        <v>48260</v>
      </c>
      <c r="L25" s="64">
        <f t="shared" si="3"/>
        <v>49791</v>
      </c>
      <c r="M25" s="64">
        <f t="shared" si="3"/>
        <v>58770</v>
      </c>
      <c r="N25" s="64">
        <f t="shared" si="3"/>
        <v>58522</v>
      </c>
      <c r="O25" s="64">
        <f t="shared" si="3"/>
        <v>89327</v>
      </c>
      <c r="P25" s="65">
        <f t="shared" si="1"/>
        <v>558118</v>
      </c>
    </row>
    <row r="26" spans="1:16" ht="11.25" customHeight="1">
      <c r="A26" s="244"/>
      <c r="B26" s="250"/>
      <c r="C26" s="51" t="s">
        <v>25</v>
      </c>
      <c r="D26" s="58">
        <v>9519</v>
      </c>
      <c r="E26" s="58">
        <v>8131</v>
      </c>
      <c r="F26" s="58">
        <v>9381</v>
      </c>
      <c r="G26" s="58">
        <v>9438</v>
      </c>
      <c r="H26" s="58">
        <v>13541</v>
      </c>
      <c r="I26" s="58">
        <v>16093</v>
      </c>
      <c r="J26" s="58">
        <v>12424</v>
      </c>
      <c r="K26" s="58">
        <v>12601</v>
      </c>
      <c r="L26" s="58">
        <v>13332</v>
      </c>
      <c r="M26" s="58">
        <v>14440</v>
      </c>
      <c r="N26" s="58">
        <v>21835</v>
      </c>
      <c r="O26" s="58">
        <v>28946</v>
      </c>
      <c r="P26" s="59">
        <f t="shared" si="1"/>
        <v>169681</v>
      </c>
    </row>
    <row r="27" spans="1:16" ht="11.25" customHeight="1">
      <c r="A27" s="244"/>
      <c r="B27" s="250"/>
      <c r="C27" s="47" t="s">
        <v>125</v>
      </c>
      <c r="D27" s="60">
        <v>6935</v>
      </c>
      <c r="E27" s="60">
        <v>5754</v>
      </c>
      <c r="F27" s="60">
        <v>6615</v>
      </c>
      <c r="G27" s="60">
        <v>6095</v>
      </c>
      <c r="H27" s="60">
        <v>7913</v>
      </c>
      <c r="I27" s="60">
        <v>9235</v>
      </c>
      <c r="J27" s="60">
        <v>10340</v>
      </c>
      <c r="K27" s="60">
        <v>11788</v>
      </c>
      <c r="L27" s="60">
        <v>11436</v>
      </c>
      <c r="M27" s="60">
        <v>14234</v>
      </c>
      <c r="N27" s="60">
        <v>10877</v>
      </c>
      <c r="O27" s="60">
        <v>19530</v>
      </c>
      <c r="P27" s="27">
        <f t="shared" si="1"/>
        <v>120752</v>
      </c>
    </row>
    <row r="28" spans="1:16" ht="11.25" customHeight="1">
      <c r="A28" s="244"/>
      <c r="B28" s="250"/>
      <c r="C28" s="48" t="s">
        <v>128</v>
      </c>
      <c r="D28" s="60">
        <v>5646</v>
      </c>
      <c r="E28" s="60">
        <v>5033</v>
      </c>
      <c r="F28" s="60">
        <v>5968</v>
      </c>
      <c r="G28" s="60">
        <v>5094</v>
      </c>
      <c r="H28" s="60">
        <v>7660</v>
      </c>
      <c r="I28" s="60">
        <v>6809</v>
      </c>
      <c r="J28" s="60">
        <v>8997</v>
      </c>
      <c r="K28" s="60">
        <v>9392</v>
      </c>
      <c r="L28" s="60">
        <v>10693</v>
      </c>
      <c r="M28" s="60">
        <v>12880</v>
      </c>
      <c r="N28" s="60">
        <v>8433</v>
      </c>
      <c r="O28" s="60">
        <v>16898</v>
      </c>
      <c r="P28" s="27">
        <f t="shared" si="1"/>
        <v>103503</v>
      </c>
    </row>
    <row r="29" spans="1:16" ht="11.25" customHeight="1">
      <c r="A29" s="244"/>
      <c r="B29" s="250"/>
      <c r="C29" s="47" t="s">
        <v>127</v>
      </c>
      <c r="D29" s="60">
        <v>2967</v>
      </c>
      <c r="E29" s="60">
        <v>2758</v>
      </c>
      <c r="F29" s="60">
        <v>3622</v>
      </c>
      <c r="G29" s="60">
        <v>3537</v>
      </c>
      <c r="H29" s="60">
        <v>3480</v>
      </c>
      <c r="I29" s="60">
        <v>4670</v>
      </c>
      <c r="J29" s="60">
        <v>6032</v>
      </c>
      <c r="K29" s="60">
        <v>5137</v>
      </c>
      <c r="L29" s="60">
        <v>5239</v>
      </c>
      <c r="M29" s="60">
        <v>6194</v>
      </c>
      <c r="N29" s="60">
        <v>8204</v>
      </c>
      <c r="O29" s="60">
        <v>10821</v>
      </c>
      <c r="P29" s="27">
        <f t="shared" si="1"/>
        <v>62661</v>
      </c>
    </row>
    <row r="30" spans="1:16" ht="11.25" customHeight="1">
      <c r="A30" s="244"/>
      <c r="B30" s="250"/>
      <c r="C30" s="47" t="s">
        <v>29</v>
      </c>
      <c r="D30" s="60">
        <v>1886</v>
      </c>
      <c r="E30" s="60">
        <v>1365</v>
      </c>
      <c r="F30" s="60">
        <v>2258</v>
      </c>
      <c r="G30" s="60">
        <v>2184</v>
      </c>
      <c r="H30" s="60">
        <v>2142</v>
      </c>
      <c r="I30" s="60">
        <v>3523</v>
      </c>
      <c r="J30" s="60">
        <v>2747</v>
      </c>
      <c r="K30" s="60">
        <v>3178</v>
      </c>
      <c r="L30" s="60">
        <v>1996</v>
      </c>
      <c r="M30" s="60">
        <v>2515</v>
      </c>
      <c r="N30" s="60">
        <v>2587</v>
      </c>
      <c r="O30" s="60">
        <v>3115</v>
      </c>
      <c r="P30" s="27">
        <f t="shared" si="1"/>
        <v>29496</v>
      </c>
    </row>
    <row r="31" spans="1:16" ht="11.25" customHeight="1">
      <c r="A31" s="244"/>
      <c r="B31" s="250"/>
      <c r="C31" s="47" t="s">
        <v>129</v>
      </c>
      <c r="D31" s="60">
        <v>2310</v>
      </c>
      <c r="E31" s="60">
        <v>1499</v>
      </c>
      <c r="F31" s="60">
        <v>1628</v>
      </c>
      <c r="G31" s="60">
        <v>1080</v>
      </c>
      <c r="H31" s="60">
        <v>1649</v>
      </c>
      <c r="I31" s="60">
        <v>1604</v>
      </c>
      <c r="J31" s="60">
        <v>2229</v>
      </c>
      <c r="K31" s="60">
        <v>1910</v>
      </c>
      <c r="L31" s="60">
        <v>2435</v>
      </c>
      <c r="M31" s="60">
        <v>2905</v>
      </c>
      <c r="N31" s="60">
        <v>2110</v>
      </c>
      <c r="O31" s="60">
        <v>3614</v>
      </c>
      <c r="P31" s="27">
        <f t="shared" si="1"/>
        <v>24973</v>
      </c>
    </row>
    <row r="32" spans="1:16" ht="11.25" customHeight="1">
      <c r="A32" s="244"/>
      <c r="B32" s="250"/>
      <c r="C32" s="47" t="s">
        <v>28</v>
      </c>
      <c r="D32" s="60">
        <v>884</v>
      </c>
      <c r="E32" s="60">
        <v>833</v>
      </c>
      <c r="F32" s="60">
        <v>1404</v>
      </c>
      <c r="G32" s="60">
        <v>1365</v>
      </c>
      <c r="H32" s="60">
        <v>1258</v>
      </c>
      <c r="I32" s="60">
        <v>1271</v>
      </c>
      <c r="J32" s="60">
        <v>1571</v>
      </c>
      <c r="K32" s="60">
        <v>1843</v>
      </c>
      <c r="L32" s="60">
        <v>1389</v>
      </c>
      <c r="M32" s="60">
        <v>2265</v>
      </c>
      <c r="N32" s="60">
        <v>1746</v>
      </c>
      <c r="O32" s="60">
        <v>2591</v>
      </c>
      <c r="P32" s="27">
        <f t="shared" si="1"/>
        <v>18420</v>
      </c>
    </row>
    <row r="33" spans="1:16" ht="11.25" customHeight="1">
      <c r="A33" s="244"/>
      <c r="B33" s="250"/>
      <c r="C33" s="47" t="s">
        <v>130</v>
      </c>
      <c r="D33" s="60">
        <v>801</v>
      </c>
      <c r="E33" s="60">
        <v>777</v>
      </c>
      <c r="F33" s="60">
        <v>817</v>
      </c>
      <c r="G33" s="60">
        <v>899</v>
      </c>
      <c r="H33" s="60">
        <v>1439</v>
      </c>
      <c r="I33" s="60">
        <v>938</v>
      </c>
      <c r="J33" s="60">
        <v>1157</v>
      </c>
      <c r="K33" s="60">
        <v>1236</v>
      </c>
      <c r="L33" s="60">
        <v>2066</v>
      </c>
      <c r="M33" s="60">
        <v>1823</v>
      </c>
      <c r="N33" s="60">
        <v>1524</v>
      </c>
      <c r="O33" s="60">
        <v>2147</v>
      </c>
      <c r="P33" s="27">
        <f t="shared" si="1"/>
        <v>15624</v>
      </c>
    </row>
    <row r="34" spans="1:16" ht="11.25" customHeight="1" thickBot="1">
      <c r="A34" s="244"/>
      <c r="B34" s="251"/>
      <c r="C34" s="49" t="s">
        <v>30</v>
      </c>
      <c r="D34" s="61">
        <v>1084</v>
      </c>
      <c r="E34" s="61">
        <v>645</v>
      </c>
      <c r="F34" s="61">
        <v>934</v>
      </c>
      <c r="G34" s="61">
        <v>693</v>
      </c>
      <c r="H34" s="61">
        <v>847</v>
      </c>
      <c r="I34" s="61">
        <v>876</v>
      </c>
      <c r="J34" s="61">
        <v>1164</v>
      </c>
      <c r="K34" s="61">
        <v>1175</v>
      </c>
      <c r="L34" s="61">
        <v>1205</v>
      </c>
      <c r="M34" s="61">
        <v>1514</v>
      </c>
      <c r="N34" s="61">
        <v>1206</v>
      </c>
      <c r="O34" s="61">
        <v>1665</v>
      </c>
      <c r="P34" s="29">
        <f t="shared" si="1"/>
        <v>13008</v>
      </c>
    </row>
    <row r="35" spans="1:16" ht="11.25" customHeight="1" thickBot="1">
      <c r="A35" s="244"/>
      <c r="B35" s="249" t="s">
        <v>142</v>
      </c>
      <c r="C35" s="53" t="s">
        <v>173</v>
      </c>
      <c r="D35" s="64">
        <f>SUM(D36:D44)</f>
        <v>1720</v>
      </c>
      <c r="E35" s="64">
        <f aca="true" t="shared" si="4" ref="E35:O35">SUM(E36:E44)</f>
        <v>1148</v>
      </c>
      <c r="F35" s="64">
        <f t="shared" si="4"/>
        <v>1925</v>
      </c>
      <c r="G35" s="64">
        <f t="shared" si="4"/>
        <v>1581</v>
      </c>
      <c r="H35" s="64">
        <f t="shared" si="4"/>
        <v>1930</v>
      </c>
      <c r="I35" s="64">
        <f t="shared" si="4"/>
        <v>2166</v>
      </c>
      <c r="J35" s="64">
        <f t="shared" si="4"/>
        <v>2274</v>
      </c>
      <c r="K35" s="64">
        <f t="shared" si="4"/>
        <v>2552</v>
      </c>
      <c r="L35" s="64">
        <f t="shared" si="4"/>
        <v>2693</v>
      </c>
      <c r="M35" s="64">
        <f t="shared" si="4"/>
        <v>3133</v>
      </c>
      <c r="N35" s="64">
        <f t="shared" si="4"/>
        <v>3243</v>
      </c>
      <c r="O35" s="64">
        <f t="shared" si="4"/>
        <v>4784</v>
      </c>
      <c r="P35" s="65">
        <f t="shared" si="1"/>
        <v>29149</v>
      </c>
    </row>
    <row r="36" spans="1:16" ht="11.25" customHeight="1">
      <c r="A36" s="244"/>
      <c r="B36" s="250"/>
      <c r="C36" s="51" t="s">
        <v>25</v>
      </c>
      <c r="D36" s="58">
        <v>542</v>
      </c>
      <c r="E36" s="58">
        <v>154</v>
      </c>
      <c r="F36" s="58">
        <v>719</v>
      </c>
      <c r="G36" s="58">
        <v>495</v>
      </c>
      <c r="H36" s="58">
        <v>677</v>
      </c>
      <c r="I36" s="58">
        <v>806</v>
      </c>
      <c r="J36" s="58">
        <v>474</v>
      </c>
      <c r="K36" s="58">
        <v>702</v>
      </c>
      <c r="L36" s="58">
        <v>777</v>
      </c>
      <c r="M36" s="58">
        <v>819</v>
      </c>
      <c r="N36" s="58">
        <v>1338</v>
      </c>
      <c r="O36" s="58">
        <v>1568</v>
      </c>
      <c r="P36" s="59">
        <f t="shared" si="1"/>
        <v>9071</v>
      </c>
    </row>
    <row r="37" spans="1:16" ht="11.25" customHeight="1">
      <c r="A37" s="244"/>
      <c r="B37" s="250"/>
      <c r="C37" s="47" t="s">
        <v>125</v>
      </c>
      <c r="D37" s="60">
        <v>382</v>
      </c>
      <c r="E37" s="60">
        <v>316</v>
      </c>
      <c r="F37" s="60">
        <v>382</v>
      </c>
      <c r="G37" s="60">
        <v>341</v>
      </c>
      <c r="H37" s="60">
        <v>316</v>
      </c>
      <c r="I37" s="60">
        <v>501</v>
      </c>
      <c r="J37" s="60">
        <v>564</v>
      </c>
      <c r="K37" s="60">
        <v>641</v>
      </c>
      <c r="L37" s="60">
        <v>621</v>
      </c>
      <c r="M37" s="60">
        <v>777</v>
      </c>
      <c r="N37" s="60">
        <v>624</v>
      </c>
      <c r="O37" s="60">
        <v>1100</v>
      </c>
      <c r="P37" s="27">
        <f t="shared" si="1"/>
        <v>6565</v>
      </c>
    </row>
    <row r="38" spans="1:16" ht="11.25" customHeight="1">
      <c r="A38" s="244"/>
      <c r="B38" s="250"/>
      <c r="C38" s="48" t="s">
        <v>128</v>
      </c>
      <c r="D38" s="60">
        <v>310</v>
      </c>
      <c r="E38" s="60">
        <v>286</v>
      </c>
      <c r="F38" s="60">
        <v>315</v>
      </c>
      <c r="G38" s="60">
        <v>284</v>
      </c>
      <c r="H38" s="60">
        <v>409</v>
      </c>
      <c r="I38" s="60">
        <v>284</v>
      </c>
      <c r="J38" s="60">
        <v>538</v>
      </c>
      <c r="K38" s="60">
        <v>510</v>
      </c>
      <c r="L38" s="60">
        <v>588</v>
      </c>
      <c r="M38" s="60">
        <v>691</v>
      </c>
      <c r="N38" s="60">
        <v>463</v>
      </c>
      <c r="O38" s="60">
        <v>923</v>
      </c>
      <c r="P38" s="27">
        <f t="shared" si="1"/>
        <v>5601</v>
      </c>
    </row>
    <row r="39" spans="1:16" ht="11.25" customHeight="1">
      <c r="A39" s="244"/>
      <c r="B39" s="250"/>
      <c r="C39" s="47" t="s">
        <v>127</v>
      </c>
      <c r="D39" s="60">
        <v>159</v>
      </c>
      <c r="E39" s="60">
        <v>152</v>
      </c>
      <c r="F39" s="60">
        <v>203</v>
      </c>
      <c r="G39" s="60">
        <v>190</v>
      </c>
      <c r="H39" s="60">
        <v>191</v>
      </c>
      <c r="I39" s="60">
        <v>256</v>
      </c>
      <c r="J39" s="60">
        <v>304</v>
      </c>
      <c r="K39" s="60">
        <v>276</v>
      </c>
      <c r="L39" s="60">
        <v>275</v>
      </c>
      <c r="M39" s="60">
        <v>319</v>
      </c>
      <c r="N39" s="60">
        <v>417</v>
      </c>
      <c r="O39" s="60">
        <v>571</v>
      </c>
      <c r="P39" s="27">
        <f t="shared" si="1"/>
        <v>3313</v>
      </c>
    </row>
    <row r="40" spans="1:16" ht="11.25" customHeight="1">
      <c r="A40" s="244"/>
      <c r="B40" s="250"/>
      <c r="C40" s="47" t="s">
        <v>129</v>
      </c>
      <c r="D40" s="60">
        <v>119</v>
      </c>
      <c r="E40" s="60">
        <v>81</v>
      </c>
      <c r="F40" s="60">
        <v>82</v>
      </c>
      <c r="G40" s="60">
        <v>59</v>
      </c>
      <c r="H40" s="60">
        <v>85</v>
      </c>
      <c r="I40" s="60">
        <v>80</v>
      </c>
      <c r="J40" s="60">
        <v>107</v>
      </c>
      <c r="K40" s="60">
        <v>96</v>
      </c>
      <c r="L40" s="60">
        <v>121</v>
      </c>
      <c r="M40" s="60">
        <v>165</v>
      </c>
      <c r="N40" s="60">
        <v>109</v>
      </c>
      <c r="O40" s="60">
        <v>176</v>
      </c>
      <c r="P40" s="27">
        <f t="shared" si="1"/>
        <v>1280</v>
      </c>
    </row>
    <row r="41" spans="1:16" ht="11.25" customHeight="1">
      <c r="A41" s="244"/>
      <c r="B41" s="250"/>
      <c r="C41" s="47" t="s">
        <v>29</v>
      </c>
      <c r="D41" s="60">
        <v>71</v>
      </c>
      <c r="E41" s="60">
        <v>50</v>
      </c>
      <c r="F41" s="60">
        <v>76</v>
      </c>
      <c r="G41" s="60">
        <v>74</v>
      </c>
      <c r="H41" s="60">
        <v>74</v>
      </c>
      <c r="I41" s="60">
        <v>82</v>
      </c>
      <c r="J41" s="60">
        <v>93</v>
      </c>
      <c r="K41" s="60">
        <v>130</v>
      </c>
      <c r="L41" s="60">
        <v>72</v>
      </c>
      <c r="M41" s="60">
        <v>97</v>
      </c>
      <c r="N41" s="60">
        <v>93</v>
      </c>
      <c r="O41" s="60">
        <v>113</v>
      </c>
      <c r="P41" s="27">
        <f t="shared" si="1"/>
        <v>1025</v>
      </c>
    </row>
    <row r="42" spans="1:16" ht="11.25" customHeight="1">
      <c r="A42" s="244"/>
      <c r="B42" s="250"/>
      <c r="C42" s="47" t="s">
        <v>130</v>
      </c>
      <c r="D42" s="60">
        <v>42</v>
      </c>
      <c r="E42" s="60">
        <v>41</v>
      </c>
      <c r="F42" s="60">
        <v>45</v>
      </c>
      <c r="G42" s="60">
        <v>48</v>
      </c>
      <c r="H42" s="60">
        <v>73</v>
      </c>
      <c r="I42" s="60">
        <v>51</v>
      </c>
      <c r="J42" s="60">
        <v>66</v>
      </c>
      <c r="K42" s="60">
        <v>65</v>
      </c>
      <c r="L42" s="60">
        <v>107</v>
      </c>
      <c r="M42" s="60">
        <v>100</v>
      </c>
      <c r="N42" s="60">
        <v>79</v>
      </c>
      <c r="O42" s="60">
        <v>113</v>
      </c>
      <c r="P42" s="27">
        <f t="shared" si="1"/>
        <v>830</v>
      </c>
    </row>
    <row r="43" spans="1:16" ht="11.25" customHeight="1">
      <c r="A43" s="244"/>
      <c r="B43" s="250"/>
      <c r="C43" s="47" t="s">
        <v>28</v>
      </c>
      <c r="D43" s="60">
        <v>37</v>
      </c>
      <c r="E43" s="60">
        <v>33</v>
      </c>
      <c r="F43" s="60">
        <v>54</v>
      </c>
      <c r="G43" s="60">
        <v>51</v>
      </c>
      <c r="H43" s="60">
        <v>59</v>
      </c>
      <c r="I43" s="60">
        <v>58</v>
      </c>
      <c r="J43" s="60">
        <v>63</v>
      </c>
      <c r="K43" s="60">
        <v>70</v>
      </c>
      <c r="L43" s="60">
        <v>56</v>
      </c>
      <c r="M43" s="60">
        <v>85</v>
      </c>
      <c r="N43" s="60">
        <v>56</v>
      </c>
      <c r="O43" s="60">
        <v>124</v>
      </c>
      <c r="P43" s="27">
        <f t="shared" si="1"/>
        <v>746</v>
      </c>
    </row>
    <row r="44" spans="1:16" ht="11.25" customHeight="1" thickBot="1">
      <c r="A44" s="245"/>
      <c r="B44" s="251"/>
      <c r="C44" s="49" t="s">
        <v>30</v>
      </c>
      <c r="D44" s="61">
        <v>58</v>
      </c>
      <c r="E44" s="61">
        <v>35</v>
      </c>
      <c r="F44" s="61">
        <v>49</v>
      </c>
      <c r="G44" s="61">
        <v>39</v>
      </c>
      <c r="H44" s="61">
        <v>46</v>
      </c>
      <c r="I44" s="61">
        <v>48</v>
      </c>
      <c r="J44" s="61">
        <v>65</v>
      </c>
      <c r="K44" s="61">
        <v>62</v>
      </c>
      <c r="L44" s="61">
        <v>76</v>
      </c>
      <c r="M44" s="61">
        <v>80</v>
      </c>
      <c r="N44" s="61">
        <v>64</v>
      </c>
      <c r="O44" s="61">
        <v>96</v>
      </c>
      <c r="P44" s="29">
        <f t="shared" si="1"/>
        <v>718</v>
      </c>
    </row>
    <row r="45" spans="1:11" s="3" customFormat="1" ht="13.5" customHeight="1">
      <c r="A45" s="11" t="s">
        <v>124</v>
      </c>
      <c r="B45" s="6"/>
      <c r="C45" s="16"/>
      <c r="K45" s="107" t="s">
        <v>11</v>
      </c>
    </row>
  </sheetData>
  <sheetProtection/>
  <mergeCells count="6">
    <mergeCell ref="B35:B44"/>
    <mergeCell ref="A5:A44"/>
    <mergeCell ref="D3:P3"/>
    <mergeCell ref="B5:B14"/>
    <mergeCell ref="B15:B24"/>
    <mergeCell ref="B25:B34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2" customWidth="1"/>
    <col min="2" max="2" width="3.28125" style="2" customWidth="1"/>
    <col min="3" max="3" width="21.28125" style="2" customWidth="1"/>
    <col min="4" max="16" width="8.28125" style="2" customWidth="1"/>
    <col min="17" max="16384" width="9.140625" style="2" customWidth="1"/>
  </cols>
  <sheetData>
    <row r="1" spans="1:16" ht="19.5" customHeight="1">
      <c r="A1" s="176" t="s">
        <v>160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ht="6.75" customHeight="1" thickBot="1"/>
    <row r="3" spans="1:16" ht="13.5" customHeight="1" thickBot="1">
      <c r="A3" s="6"/>
      <c r="B3" s="6"/>
      <c r="C3" s="16"/>
      <c r="D3" s="242">
        <v>2009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</row>
    <row r="4" spans="1:16" ht="27" customHeight="1" thickBot="1">
      <c r="A4" s="6"/>
      <c r="B4" s="6"/>
      <c r="C4" s="16"/>
      <c r="D4" s="172" t="s">
        <v>149</v>
      </c>
      <c r="E4" s="172" t="s">
        <v>150</v>
      </c>
      <c r="F4" s="172" t="s">
        <v>14</v>
      </c>
      <c r="G4" s="172" t="s">
        <v>15</v>
      </c>
      <c r="H4" s="172" t="s">
        <v>16</v>
      </c>
      <c r="I4" s="172" t="s">
        <v>17</v>
      </c>
      <c r="J4" s="172" t="s">
        <v>18</v>
      </c>
      <c r="K4" s="172" t="s">
        <v>151</v>
      </c>
      <c r="L4" s="172" t="s">
        <v>152</v>
      </c>
      <c r="M4" s="172" t="s">
        <v>153</v>
      </c>
      <c r="N4" s="172" t="s">
        <v>154</v>
      </c>
      <c r="O4" s="172" t="s">
        <v>155</v>
      </c>
      <c r="P4" s="172" t="s">
        <v>24</v>
      </c>
    </row>
    <row r="5" spans="1:16" ht="19.5" customHeight="1" thickBot="1">
      <c r="A5" s="233" t="s">
        <v>44</v>
      </c>
      <c r="B5" s="239" t="s">
        <v>83</v>
      </c>
      <c r="C5" s="69" t="s">
        <v>0</v>
      </c>
      <c r="D5" s="38">
        <f aca="true" t="shared" si="0" ref="D5:O5">SUM(D6:D12)</f>
        <v>2256</v>
      </c>
      <c r="E5" s="38">
        <f t="shared" si="0"/>
        <v>2263</v>
      </c>
      <c r="F5" s="38">
        <f t="shared" si="0"/>
        <v>3109</v>
      </c>
      <c r="G5" s="38">
        <f t="shared" si="0"/>
        <v>2456</v>
      </c>
      <c r="H5" s="38">
        <f t="shared" si="0"/>
        <v>2202</v>
      </c>
      <c r="I5" s="38">
        <f t="shared" si="0"/>
        <v>2398</v>
      </c>
      <c r="J5" s="38">
        <f t="shared" si="0"/>
        <v>2298</v>
      </c>
      <c r="K5" s="38">
        <f t="shared" si="0"/>
        <v>2608</v>
      </c>
      <c r="L5" s="38">
        <f t="shared" si="0"/>
        <v>2699</v>
      </c>
      <c r="M5" s="38">
        <f t="shared" si="0"/>
        <v>2864</v>
      </c>
      <c r="N5" s="38">
        <f t="shared" si="0"/>
        <v>2870</v>
      </c>
      <c r="O5" s="38">
        <f t="shared" si="0"/>
        <v>3359</v>
      </c>
      <c r="P5" s="70">
        <f aca="true" t="shared" si="1" ref="P5:P20">SUM(D5:O5)</f>
        <v>31382</v>
      </c>
    </row>
    <row r="6" spans="1:16" ht="19.5" customHeight="1">
      <c r="A6" s="234"/>
      <c r="B6" s="240"/>
      <c r="C6" s="165" t="s">
        <v>147</v>
      </c>
      <c r="D6" s="39">
        <v>1350</v>
      </c>
      <c r="E6" s="39">
        <v>1322</v>
      </c>
      <c r="F6" s="39">
        <v>1734</v>
      </c>
      <c r="G6" s="39">
        <v>1473</v>
      </c>
      <c r="H6" s="39">
        <v>1174</v>
      </c>
      <c r="I6" s="39">
        <v>1295</v>
      </c>
      <c r="J6" s="39">
        <v>1371</v>
      </c>
      <c r="K6" s="39">
        <v>1465</v>
      </c>
      <c r="L6" s="39">
        <v>1576</v>
      </c>
      <c r="M6" s="39">
        <v>1511</v>
      </c>
      <c r="N6" s="39">
        <v>1615</v>
      </c>
      <c r="O6" s="39">
        <v>1856</v>
      </c>
      <c r="P6" s="44">
        <f t="shared" si="1"/>
        <v>17742</v>
      </c>
    </row>
    <row r="7" spans="1:16" ht="19.5" customHeight="1">
      <c r="A7" s="234"/>
      <c r="B7" s="240"/>
      <c r="C7" s="54" t="s">
        <v>136</v>
      </c>
      <c r="D7" s="35">
        <v>747</v>
      </c>
      <c r="E7" s="35">
        <v>748</v>
      </c>
      <c r="F7" s="35">
        <v>1137</v>
      </c>
      <c r="G7" s="35">
        <v>786</v>
      </c>
      <c r="H7" s="35">
        <v>791</v>
      </c>
      <c r="I7" s="35">
        <v>936</v>
      </c>
      <c r="J7" s="35">
        <v>750</v>
      </c>
      <c r="K7" s="35">
        <v>934</v>
      </c>
      <c r="L7" s="35">
        <v>886</v>
      </c>
      <c r="M7" s="35">
        <v>1056</v>
      </c>
      <c r="N7" s="35">
        <v>991</v>
      </c>
      <c r="O7" s="35">
        <v>1181</v>
      </c>
      <c r="P7" s="32">
        <f t="shared" si="1"/>
        <v>10943</v>
      </c>
    </row>
    <row r="8" spans="1:16" ht="19.5" customHeight="1">
      <c r="A8" s="234"/>
      <c r="B8" s="240"/>
      <c r="C8" s="161" t="s">
        <v>143</v>
      </c>
      <c r="D8" s="35">
        <f>35+27+87+1</f>
        <v>150</v>
      </c>
      <c r="E8" s="35">
        <f>34+149+1</f>
        <v>184</v>
      </c>
      <c r="F8" s="35">
        <f>30+5+176</f>
        <v>211</v>
      </c>
      <c r="G8" s="35">
        <f>22+1+152</f>
        <v>175</v>
      </c>
      <c r="H8" s="35">
        <f>30+195</f>
        <v>225</v>
      </c>
      <c r="I8" s="35">
        <f>22+140</f>
        <v>162</v>
      </c>
      <c r="J8" s="35">
        <f>24+1+138+2</f>
        <v>165</v>
      </c>
      <c r="K8" s="35">
        <f>24+173</f>
        <v>197</v>
      </c>
      <c r="L8" s="35">
        <f>41+178+3+3</f>
        <v>225</v>
      </c>
      <c r="M8" s="35">
        <f>28+258</f>
        <v>286</v>
      </c>
      <c r="N8" s="35">
        <f>39+4+204+1+1</f>
        <v>249</v>
      </c>
      <c r="O8" s="35">
        <f>36+3+263+6+1</f>
        <v>309</v>
      </c>
      <c r="P8" s="32">
        <f t="shared" si="1"/>
        <v>2538</v>
      </c>
    </row>
    <row r="9" spans="1:16" ht="19.5" customHeight="1">
      <c r="A9" s="234"/>
      <c r="B9" s="240"/>
      <c r="C9" s="54" t="s">
        <v>144</v>
      </c>
      <c r="D9" s="35">
        <v>3</v>
      </c>
      <c r="E9" s="35">
        <v>4</v>
      </c>
      <c r="F9" s="35">
        <v>14</v>
      </c>
      <c r="G9" s="35">
        <v>12</v>
      </c>
      <c r="H9" s="35">
        <v>7</v>
      </c>
      <c r="I9" s="35">
        <v>3</v>
      </c>
      <c r="J9" s="35">
        <v>4</v>
      </c>
      <c r="K9" s="35">
        <v>3</v>
      </c>
      <c r="L9" s="35">
        <v>9</v>
      </c>
      <c r="M9" s="35">
        <v>6</v>
      </c>
      <c r="N9" s="35">
        <v>7</v>
      </c>
      <c r="O9" s="35">
        <v>7</v>
      </c>
      <c r="P9" s="32">
        <f t="shared" si="1"/>
        <v>79</v>
      </c>
    </row>
    <row r="10" spans="1:16" ht="19.5" customHeight="1">
      <c r="A10" s="234"/>
      <c r="B10" s="240"/>
      <c r="C10" s="54" t="s">
        <v>132</v>
      </c>
      <c r="D10" s="35">
        <v>2</v>
      </c>
      <c r="E10" s="35">
        <v>1</v>
      </c>
      <c r="F10" s="35">
        <v>6</v>
      </c>
      <c r="G10" s="35">
        <v>4</v>
      </c>
      <c r="H10" s="35">
        <v>0</v>
      </c>
      <c r="I10" s="35">
        <v>1</v>
      </c>
      <c r="J10" s="35">
        <v>3</v>
      </c>
      <c r="K10" s="35">
        <v>2</v>
      </c>
      <c r="L10" s="35">
        <v>2</v>
      </c>
      <c r="M10" s="35">
        <v>4</v>
      </c>
      <c r="N10" s="35">
        <v>3</v>
      </c>
      <c r="O10" s="35">
        <v>2</v>
      </c>
      <c r="P10" s="32">
        <f t="shared" si="1"/>
        <v>30</v>
      </c>
    </row>
    <row r="11" spans="1:16" ht="19.5" customHeight="1">
      <c r="A11" s="234"/>
      <c r="B11" s="240"/>
      <c r="C11" s="54" t="s">
        <v>145</v>
      </c>
      <c r="D11" s="35">
        <v>2</v>
      </c>
      <c r="E11" s="35">
        <f>1+1</f>
        <v>2</v>
      </c>
      <c r="F11" s="35">
        <f>1+4</f>
        <v>5</v>
      </c>
      <c r="G11" s="35">
        <v>4</v>
      </c>
      <c r="H11" s="35">
        <v>3</v>
      </c>
      <c r="I11" s="35">
        <v>1</v>
      </c>
      <c r="J11" s="35">
        <v>2</v>
      </c>
      <c r="K11" s="35">
        <v>3</v>
      </c>
      <c r="L11" s="35">
        <v>0</v>
      </c>
      <c r="M11" s="35">
        <v>1</v>
      </c>
      <c r="N11" s="35">
        <v>1</v>
      </c>
      <c r="O11" s="35">
        <v>3</v>
      </c>
      <c r="P11" s="32">
        <f t="shared" si="1"/>
        <v>27</v>
      </c>
    </row>
    <row r="12" spans="1:16" ht="19.5" customHeight="1" thickBot="1">
      <c r="A12" s="234"/>
      <c r="B12" s="241"/>
      <c r="C12" s="55" t="s">
        <v>146</v>
      </c>
      <c r="D12" s="50">
        <v>2</v>
      </c>
      <c r="E12" s="50">
        <v>2</v>
      </c>
      <c r="F12" s="50">
        <v>2</v>
      </c>
      <c r="G12" s="50">
        <v>2</v>
      </c>
      <c r="H12" s="50">
        <v>2</v>
      </c>
      <c r="I12" s="50">
        <v>0</v>
      </c>
      <c r="J12" s="50">
        <v>3</v>
      </c>
      <c r="K12" s="50">
        <v>4</v>
      </c>
      <c r="L12" s="50">
        <v>1</v>
      </c>
      <c r="M12" s="50">
        <v>0</v>
      </c>
      <c r="N12" s="50">
        <v>4</v>
      </c>
      <c r="O12" s="50">
        <v>1</v>
      </c>
      <c r="P12" s="33">
        <f t="shared" si="1"/>
        <v>23</v>
      </c>
    </row>
    <row r="13" spans="1:16" ht="19.5" customHeight="1" thickBot="1">
      <c r="A13" s="234"/>
      <c r="B13" s="236" t="s">
        <v>173</v>
      </c>
      <c r="C13" s="23" t="s">
        <v>0</v>
      </c>
      <c r="D13" s="46">
        <f>SUM(D14:D17)</f>
        <v>3172</v>
      </c>
      <c r="E13" s="46">
        <f aca="true" t="shared" si="2" ref="E13:O13">SUM(E14:E17)</f>
        <v>2807</v>
      </c>
      <c r="F13" s="46">
        <f t="shared" si="2"/>
        <v>10155</v>
      </c>
      <c r="G13" s="46">
        <f t="shared" si="2"/>
        <v>10613</v>
      </c>
      <c r="H13" s="46">
        <f t="shared" si="2"/>
        <v>3331</v>
      </c>
      <c r="I13" s="46">
        <f t="shared" si="2"/>
        <v>2805</v>
      </c>
      <c r="J13" s="46">
        <f t="shared" si="2"/>
        <v>3151</v>
      </c>
      <c r="K13" s="46">
        <f t="shared" si="2"/>
        <v>4177</v>
      </c>
      <c r="L13" s="46">
        <f t="shared" si="2"/>
        <v>4824</v>
      </c>
      <c r="M13" s="46">
        <f t="shared" si="2"/>
        <v>8331</v>
      </c>
      <c r="N13" s="46">
        <f t="shared" si="2"/>
        <v>6654</v>
      </c>
      <c r="O13" s="46">
        <f t="shared" si="2"/>
        <v>9525</v>
      </c>
      <c r="P13" s="40">
        <f t="shared" si="1"/>
        <v>69545</v>
      </c>
    </row>
    <row r="14" spans="1:16" ht="19.5" customHeight="1">
      <c r="A14" s="234"/>
      <c r="B14" s="237"/>
      <c r="C14" s="71" t="s">
        <v>143</v>
      </c>
      <c r="D14" s="39">
        <v>558</v>
      </c>
      <c r="E14" s="39">
        <v>1797</v>
      </c>
      <c r="F14" s="39">
        <v>3709</v>
      </c>
      <c r="G14" s="39">
        <v>4172</v>
      </c>
      <c r="H14" s="39">
        <v>2809</v>
      </c>
      <c r="I14" s="39">
        <v>2451</v>
      </c>
      <c r="J14" s="39">
        <v>2746</v>
      </c>
      <c r="K14" s="39">
        <v>3400</v>
      </c>
      <c r="L14" s="39">
        <v>4322</v>
      </c>
      <c r="M14" s="39">
        <v>7356</v>
      </c>
      <c r="N14" s="39">
        <v>5604</v>
      </c>
      <c r="O14" s="39">
        <v>7819</v>
      </c>
      <c r="P14" s="44">
        <f t="shared" si="1"/>
        <v>46743</v>
      </c>
    </row>
    <row r="15" spans="1:16" ht="19.5" customHeight="1">
      <c r="A15" s="234"/>
      <c r="B15" s="237"/>
      <c r="C15" s="54" t="s">
        <v>132</v>
      </c>
      <c r="D15" s="35">
        <v>0</v>
      </c>
      <c r="E15" s="35">
        <v>716</v>
      </c>
      <c r="F15" s="35">
        <v>5802</v>
      </c>
      <c r="G15" s="35">
        <v>5802</v>
      </c>
      <c r="H15" s="35">
        <v>0</v>
      </c>
      <c r="I15" s="35">
        <v>1</v>
      </c>
      <c r="J15" s="35">
        <v>45</v>
      </c>
      <c r="K15" s="35">
        <v>150</v>
      </c>
      <c r="L15" s="35">
        <v>0</v>
      </c>
      <c r="M15" s="35">
        <v>63</v>
      </c>
      <c r="N15" s="35">
        <v>2</v>
      </c>
      <c r="O15" s="35">
        <v>734</v>
      </c>
      <c r="P15" s="32">
        <f t="shared" si="1"/>
        <v>13315</v>
      </c>
    </row>
    <row r="16" spans="1:16" ht="19.5" customHeight="1">
      <c r="A16" s="234"/>
      <c r="B16" s="237"/>
      <c r="C16" s="72" t="s">
        <v>141</v>
      </c>
      <c r="D16" s="73">
        <v>2405</v>
      </c>
      <c r="E16" s="73">
        <v>108</v>
      </c>
      <c r="F16" s="73">
        <v>243</v>
      </c>
      <c r="G16" s="73">
        <v>226</v>
      </c>
      <c r="H16" s="73">
        <v>222</v>
      </c>
      <c r="I16" s="73">
        <v>129</v>
      </c>
      <c r="J16" s="73">
        <v>148</v>
      </c>
      <c r="K16" s="73">
        <v>193</v>
      </c>
      <c r="L16" s="73">
        <v>192</v>
      </c>
      <c r="M16" s="73">
        <v>361</v>
      </c>
      <c r="N16" s="73">
        <v>469</v>
      </c>
      <c r="O16" s="73">
        <v>358</v>
      </c>
      <c r="P16" s="32">
        <f t="shared" si="1"/>
        <v>5054</v>
      </c>
    </row>
    <row r="17" spans="1:16" ht="19.5" customHeight="1">
      <c r="A17" s="234"/>
      <c r="B17" s="237"/>
      <c r="C17" s="54" t="s">
        <v>138</v>
      </c>
      <c r="D17" s="35">
        <v>209</v>
      </c>
      <c r="E17" s="35">
        <v>186</v>
      </c>
      <c r="F17" s="35">
        <v>401</v>
      </c>
      <c r="G17" s="35">
        <v>413</v>
      </c>
      <c r="H17" s="35">
        <v>300</v>
      </c>
      <c r="I17" s="35">
        <v>224</v>
      </c>
      <c r="J17" s="35">
        <v>212</v>
      </c>
      <c r="K17" s="35">
        <v>434</v>
      </c>
      <c r="L17" s="35">
        <v>310</v>
      </c>
      <c r="M17" s="35">
        <v>551</v>
      </c>
      <c r="N17" s="35">
        <v>579</v>
      </c>
      <c r="O17" s="35">
        <v>614</v>
      </c>
      <c r="P17" s="32">
        <f t="shared" si="1"/>
        <v>4433</v>
      </c>
    </row>
    <row r="18" spans="1:16" ht="19.5" customHeight="1">
      <c r="A18" s="234"/>
      <c r="B18" s="237"/>
      <c r="C18" s="54" t="s">
        <v>144</v>
      </c>
      <c r="D18" s="35">
        <v>15</v>
      </c>
      <c r="E18" s="35">
        <v>468</v>
      </c>
      <c r="F18" s="35">
        <v>158</v>
      </c>
      <c r="G18" s="35">
        <v>0</v>
      </c>
      <c r="H18" s="35">
        <v>30</v>
      </c>
      <c r="I18" s="35">
        <v>220</v>
      </c>
      <c r="J18" s="35">
        <v>321</v>
      </c>
      <c r="K18" s="35">
        <v>0</v>
      </c>
      <c r="L18" s="35">
        <v>1195</v>
      </c>
      <c r="M18" s="35">
        <v>348</v>
      </c>
      <c r="N18" s="35">
        <v>121</v>
      </c>
      <c r="O18" s="35">
        <v>70</v>
      </c>
      <c r="P18" s="32">
        <f t="shared" si="1"/>
        <v>2946</v>
      </c>
    </row>
    <row r="19" spans="1:16" ht="19.5" customHeight="1">
      <c r="A19" s="234"/>
      <c r="B19" s="237"/>
      <c r="C19" s="72" t="s">
        <v>142</v>
      </c>
      <c r="D19" s="73">
        <v>2</v>
      </c>
      <c r="E19" s="73">
        <v>2</v>
      </c>
      <c r="F19" s="73">
        <v>4</v>
      </c>
      <c r="G19" s="73">
        <v>6</v>
      </c>
      <c r="H19" s="73">
        <v>3</v>
      </c>
      <c r="I19" s="73">
        <v>4</v>
      </c>
      <c r="J19" s="73">
        <v>3</v>
      </c>
      <c r="K19" s="73">
        <v>17</v>
      </c>
      <c r="L19" s="73">
        <v>11</v>
      </c>
      <c r="M19" s="73">
        <v>7</v>
      </c>
      <c r="N19" s="73">
        <v>4</v>
      </c>
      <c r="O19" s="73">
        <v>9</v>
      </c>
      <c r="P19" s="32">
        <f t="shared" si="1"/>
        <v>72</v>
      </c>
    </row>
    <row r="20" spans="1:16" ht="19.5" customHeight="1" thickBot="1">
      <c r="A20" s="235"/>
      <c r="B20" s="238"/>
      <c r="C20" s="74" t="s">
        <v>140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1</v>
      </c>
      <c r="L20" s="75">
        <v>3</v>
      </c>
      <c r="M20" s="75">
        <v>6</v>
      </c>
      <c r="N20" s="75">
        <v>1</v>
      </c>
      <c r="O20" s="75">
        <v>2</v>
      </c>
      <c r="P20" s="33">
        <f t="shared" si="1"/>
        <v>13</v>
      </c>
    </row>
    <row r="21" spans="1:11" s="3" customFormat="1" ht="13.5" customHeight="1">
      <c r="A21" s="11" t="s">
        <v>124</v>
      </c>
      <c r="B21" s="6"/>
      <c r="C21" s="16"/>
      <c r="K21" s="107" t="s">
        <v>11</v>
      </c>
    </row>
  </sheetData>
  <sheetProtection/>
  <mergeCells count="4">
    <mergeCell ref="D3:P3"/>
    <mergeCell ref="B5:B12"/>
    <mergeCell ref="A5:A20"/>
    <mergeCell ref="B13:B20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3" customWidth="1"/>
    <col min="2" max="2" width="9.421875" style="15" customWidth="1"/>
    <col min="3" max="3" width="6.421875" style="3" customWidth="1"/>
    <col min="4" max="4" width="6.57421875" style="3" customWidth="1"/>
    <col min="5" max="5" width="6.421875" style="3" customWidth="1"/>
    <col min="6" max="7" width="6.7109375" style="3" customWidth="1"/>
    <col min="8" max="8" width="7.00390625" style="3" customWidth="1"/>
    <col min="9" max="10" width="6.8515625" style="3" customWidth="1"/>
    <col min="11" max="11" width="6.7109375" style="3" customWidth="1"/>
    <col min="12" max="13" width="6.57421875" style="3" customWidth="1"/>
    <col min="14" max="14" width="7.140625" style="3" customWidth="1"/>
    <col min="15" max="15" width="8.8515625" style="8" customWidth="1"/>
    <col min="16" max="16" width="11.7109375" style="3" customWidth="1"/>
    <col min="17" max="16384" width="9.140625" style="3" customWidth="1"/>
  </cols>
  <sheetData>
    <row r="1" spans="1:15" ht="18.75">
      <c r="A1" s="176" t="s">
        <v>161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80"/>
    </row>
    <row r="2" ht="6.75" customHeight="1" thickBot="1">
      <c r="A2" s="5"/>
    </row>
    <row r="3" spans="1:15" ht="13.5" customHeight="1" thickBot="1">
      <c r="A3" s="5"/>
      <c r="C3" s="242">
        <v>2009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</row>
    <row r="4" spans="3:15" ht="13.5" customHeight="1" thickBot="1">
      <c r="C4" s="172" t="s">
        <v>149</v>
      </c>
      <c r="D4" s="172" t="s">
        <v>150</v>
      </c>
      <c r="E4" s="172" t="s">
        <v>14</v>
      </c>
      <c r="F4" s="172" t="s">
        <v>15</v>
      </c>
      <c r="G4" s="172" t="s">
        <v>16</v>
      </c>
      <c r="H4" s="172" t="s">
        <v>17</v>
      </c>
      <c r="I4" s="172" t="s">
        <v>18</v>
      </c>
      <c r="J4" s="172" t="s">
        <v>151</v>
      </c>
      <c r="K4" s="172" t="s">
        <v>152</v>
      </c>
      <c r="L4" s="172" t="s">
        <v>153</v>
      </c>
      <c r="M4" s="172" t="s">
        <v>154</v>
      </c>
      <c r="N4" s="172" t="s">
        <v>155</v>
      </c>
      <c r="O4" s="172" t="s">
        <v>24</v>
      </c>
    </row>
    <row r="5" spans="1:17" ht="21.75" thickBot="1">
      <c r="A5" s="259" t="s">
        <v>162</v>
      </c>
      <c r="B5" s="66" t="s">
        <v>174</v>
      </c>
      <c r="C5" s="86">
        <f aca="true" t="shared" si="0" ref="C5:N5">SUM(C6:C11)</f>
        <v>110</v>
      </c>
      <c r="D5" s="86">
        <f t="shared" si="0"/>
        <v>910</v>
      </c>
      <c r="E5" s="86">
        <f t="shared" si="0"/>
        <v>680</v>
      </c>
      <c r="F5" s="86">
        <f t="shared" si="0"/>
        <v>851</v>
      </c>
      <c r="G5" s="86">
        <f t="shared" si="0"/>
        <v>866</v>
      </c>
      <c r="H5" s="86">
        <f t="shared" si="0"/>
        <v>1795</v>
      </c>
      <c r="I5" s="86">
        <f t="shared" si="0"/>
        <v>359</v>
      </c>
      <c r="J5" s="86">
        <f t="shared" si="0"/>
        <v>707</v>
      </c>
      <c r="K5" s="86">
        <f t="shared" si="0"/>
        <v>1235</v>
      </c>
      <c r="L5" s="86">
        <f t="shared" si="0"/>
        <v>834</v>
      </c>
      <c r="M5" s="86">
        <f t="shared" si="0"/>
        <v>1006</v>
      </c>
      <c r="N5" s="86">
        <f t="shared" si="0"/>
        <v>2162</v>
      </c>
      <c r="O5" s="181">
        <f aca="true" t="shared" si="1" ref="O5:O35">SUM(C5:N5)</f>
        <v>11515</v>
      </c>
      <c r="Q5" s="168"/>
    </row>
    <row r="6" spans="1:15" s="4" customFormat="1" ht="22.5">
      <c r="A6" s="260"/>
      <c r="B6" s="97" t="s">
        <v>34</v>
      </c>
      <c r="C6" s="80">
        <v>64</v>
      </c>
      <c r="D6" s="80">
        <v>366</v>
      </c>
      <c r="E6" s="80">
        <v>419</v>
      </c>
      <c r="F6" s="80">
        <v>561</v>
      </c>
      <c r="G6" s="80">
        <v>545</v>
      </c>
      <c r="H6" s="80">
        <v>1100</v>
      </c>
      <c r="I6" s="80">
        <v>235</v>
      </c>
      <c r="J6" s="80">
        <v>428</v>
      </c>
      <c r="K6" s="80">
        <v>680</v>
      </c>
      <c r="L6" s="80">
        <v>487</v>
      </c>
      <c r="M6" s="80">
        <v>628</v>
      </c>
      <c r="N6" s="80">
        <v>1247</v>
      </c>
      <c r="O6" s="182">
        <f t="shared" si="1"/>
        <v>6760</v>
      </c>
    </row>
    <row r="7" spans="1:15" ht="22.5">
      <c r="A7" s="260"/>
      <c r="B7" s="101" t="s">
        <v>29</v>
      </c>
      <c r="C7" s="81">
        <v>20</v>
      </c>
      <c r="D7" s="81">
        <v>93</v>
      </c>
      <c r="E7" s="81">
        <v>78</v>
      </c>
      <c r="F7" s="81">
        <v>107</v>
      </c>
      <c r="G7" s="81">
        <v>117</v>
      </c>
      <c r="H7" s="81">
        <v>272</v>
      </c>
      <c r="I7" s="81">
        <v>27</v>
      </c>
      <c r="J7" s="81">
        <v>86</v>
      </c>
      <c r="K7" s="81">
        <v>109</v>
      </c>
      <c r="L7" s="81">
        <v>126</v>
      </c>
      <c r="M7" s="81">
        <v>118</v>
      </c>
      <c r="N7" s="81">
        <v>274</v>
      </c>
      <c r="O7" s="183">
        <f t="shared" si="1"/>
        <v>1427</v>
      </c>
    </row>
    <row r="8" spans="1:15" ht="12.75" customHeight="1">
      <c r="A8" s="260"/>
      <c r="B8" s="101" t="s">
        <v>25</v>
      </c>
      <c r="C8" s="81">
        <v>4</v>
      </c>
      <c r="D8" s="81">
        <v>139</v>
      </c>
      <c r="E8" s="81">
        <v>75</v>
      </c>
      <c r="F8" s="81">
        <v>53</v>
      </c>
      <c r="G8" s="81">
        <v>39</v>
      </c>
      <c r="H8" s="81">
        <v>170</v>
      </c>
      <c r="I8" s="81">
        <v>39</v>
      </c>
      <c r="J8" s="81">
        <v>74</v>
      </c>
      <c r="K8" s="81">
        <v>261</v>
      </c>
      <c r="L8" s="81">
        <v>57</v>
      </c>
      <c r="M8" s="81">
        <v>141</v>
      </c>
      <c r="N8" s="81">
        <v>353</v>
      </c>
      <c r="O8" s="183">
        <f t="shared" si="1"/>
        <v>1405</v>
      </c>
    </row>
    <row r="9" spans="1:15" ht="12.75" customHeight="1">
      <c r="A9" s="260"/>
      <c r="B9" s="101" t="s">
        <v>28</v>
      </c>
      <c r="C9" s="81">
        <v>14</v>
      </c>
      <c r="D9" s="81">
        <v>64</v>
      </c>
      <c r="E9" s="81">
        <v>42</v>
      </c>
      <c r="F9" s="81">
        <v>57</v>
      </c>
      <c r="G9" s="81">
        <v>82</v>
      </c>
      <c r="H9" s="81">
        <v>118</v>
      </c>
      <c r="I9" s="81">
        <v>40</v>
      </c>
      <c r="J9" s="81">
        <v>63</v>
      </c>
      <c r="K9" s="81">
        <v>99</v>
      </c>
      <c r="L9" s="81">
        <v>111</v>
      </c>
      <c r="M9" s="81">
        <v>64</v>
      </c>
      <c r="N9" s="81">
        <v>154</v>
      </c>
      <c r="O9" s="183">
        <f t="shared" si="1"/>
        <v>908</v>
      </c>
    </row>
    <row r="10" spans="1:15" ht="15" customHeight="1">
      <c r="A10" s="260"/>
      <c r="B10" s="101" t="s">
        <v>30</v>
      </c>
      <c r="C10" s="81">
        <v>8</v>
      </c>
      <c r="D10" s="81">
        <v>47</v>
      </c>
      <c r="E10" s="81">
        <v>59</v>
      </c>
      <c r="F10" s="81">
        <v>71</v>
      </c>
      <c r="G10" s="81">
        <v>81</v>
      </c>
      <c r="H10" s="81">
        <v>115</v>
      </c>
      <c r="I10" s="81">
        <v>12</v>
      </c>
      <c r="J10" s="81">
        <v>48</v>
      </c>
      <c r="K10" s="81">
        <v>72</v>
      </c>
      <c r="L10" s="81">
        <v>50</v>
      </c>
      <c r="M10" s="81">
        <v>51</v>
      </c>
      <c r="N10" s="81">
        <v>119</v>
      </c>
      <c r="O10" s="183">
        <f t="shared" si="1"/>
        <v>733</v>
      </c>
    </row>
    <row r="11" spans="1:15" ht="23.25" thickBot="1">
      <c r="A11" s="260"/>
      <c r="B11" s="104" t="s">
        <v>26</v>
      </c>
      <c r="C11" s="83">
        <v>0</v>
      </c>
      <c r="D11" s="83">
        <v>201</v>
      </c>
      <c r="E11" s="83">
        <v>7</v>
      </c>
      <c r="F11" s="83">
        <v>2</v>
      </c>
      <c r="G11" s="83">
        <v>2</v>
      </c>
      <c r="H11" s="83">
        <v>20</v>
      </c>
      <c r="I11" s="83">
        <v>6</v>
      </c>
      <c r="J11" s="83">
        <v>8</v>
      </c>
      <c r="K11" s="83">
        <v>14</v>
      </c>
      <c r="L11" s="83">
        <v>3</v>
      </c>
      <c r="M11" s="83">
        <v>4</v>
      </c>
      <c r="N11" s="83">
        <v>15</v>
      </c>
      <c r="O11" s="184">
        <f t="shared" si="1"/>
        <v>282</v>
      </c>
    </row>
    <row r="12" spans="1:15" ht="21.75" thickBot="1">
      <c r="A12" s="260"/>
      <c r="B12" s="66" t="s">
        <v>175</v>
      </c>
      <c r="C12" s="86">
        <f aca="true" t="shared" si="2" ref="C12:N12">SUM(C13:C14)</f>
        <v>150</v>
      </c>
      <c r="D12" s="86">
        <f t="shared" si="2"/>
        <v>123</v>
      </c>
      <c r="E12" s="86">
        <f t="shared" si="2"/>
        <v>292</v>
      </c>
      <c r="F12" s="86">
        <f t="shared" si="2"/>
        <v>126</v>
      </c>
      <c r="G12" s="86">
        <f t="shared" si="2"/>
        <v>146</v>
      </c>
      <c r="H12" s="86">
        <f t="shared" si="2"/>
        <v>240</v>
      </c>
      <c r="I12" s="86">
        <f t="shared" si="2"/>
        <v>199</v>
      </c>
      <c r="J12" s="86">
        <f t="shared" si="2"/>
        <v>161</v>
      </c>
      <c r="K12" s="86">
        <f t="shared" si="2"/>
        <v>180</v>
      </c>
      <c r="L12" s="86">
        <f t="shared" si="2"/>
        <v>265</v>
      </c>
      <c r="M12" s="86">
        <f t="shared" si="2"/>
        <v>204</v>
      </c>
      <c r="N12" s="86">
        <f t="shared" si="2"/>
        <v>768</v>
      </c>
      <c r="O12" s="181">
        <f t="shared" si="1"/>
        <v>2854</v>
      </c>
    </row>
    <row r="13" spans="1:15" ht="22.5">
      <c r="A13" s="260"/>
      <c r="B13" s="97" t="s">
        <v>26</v>
      </c>
      <c r="C13" s="78">
        <v>116</v>
      </c>
      <c r="D13" s="78">
        <v>107</v>
      </c>
      <c r="E13" s="78">
        <v>119</v>
      </c>
      <c r="F13" s="78">
        <v>104</v>
      </c>
      <c r="G13" s="78">
        <v>121</v>
      </c>
      <c r="H13" s="78">
        <v>207</v>
      </c>
      <c r="I13" s="78">
        <v>157</v>
      </c>
      <c r="J13" s="78">
        <v>125</v>
      </c>
      <c r="K13" s="78">
        <v>146</v>
      </c>
      <c r="L13" s="78">
        <v>205</v>
      </c>
      <c r="M13" s="78">
        <v>133</v>
      </c>
      <c r="N13" s="78">
        <v>602</v>
      </c>
      <c r="O13" s="185">
        <f t="shared" si="1"/>
        <v>2142</v>
      </c>
    </row>
    <row r="14" spans="1:15" ht="23.25" thickBot="1">
      <c r="A14" s="260"/>
      <c r="B14" s="104" t="s">
        <v>35</v>
      </c>
      <c r="C14" s="79">
        <v>34</v>
      </c>
      <c r="D14" s="79">
        <v>16</v>
      </c>
      <c r="E14" s="79">
        <v>173</v>
      </c>
      <c r="F14" s="79">
        <v>22</v>
      </c>
      <c r="G14" s="79">
        <v>25</v>
      </c>
      <c r="H14" s="79">
        <v>33</v>
      </c>
      <c r="I14" s="79">
        <v>42</v>
      </c>
      <c r="J14" s="79">
        <v>36</v>
      </c>
      <c r="K14" s="79">
        <v>34</v>
      </c>
      <c r="L14" s="79">
        <v>60</v>
      </c>
      <c r="M14" s="79">
        <v>71</v>
      </c>
      <c r="N14" s="79">
        <v>166</v>
      </c>
      <c r="O14" s="186">
        <f t="shared" si="1"/>
        <v>712</v>
      </c>
    </row>
    <row r="15" spans="1:15" ht="12.75" customHeight="1" thickBot="1">
      <c r="A15" s="261"/>
      <c r="B15" s="26" t="s">
        <v>0</v>
      </c>
      <c r="C15" s="76">
        <f aca="true" t="shared" si="3" ref="C15:N15">C5+C12</f>
        <v>260</v>
      </c>
      <c r="D15" s="76">
        <f t="shared" si="3"/>
        <v>1033</v>
      </c>
      <c r="E15" s="76">
        <f t="shared" si="3"/>
        <v>972</v>
      </c>
      <c r="F15" s="76">
        <f t="shared" si="3"/>
        <v>977</v>
      </c>
      <c r="G15" s="76">
        <f t="shared" si="3"/>
        <v>1012</v>
      </c>
      <c r="H15" s="76">
        <f t="shared" si="3"/>
        <v>2035</v>
      </c>
      <c r="I15" s="76">
        <f t="shared" si="3"/>
        <v>558</v>
      </c>
      <c r="J15" s="76">
        <f t="shared" si="3"/>
        <v>868</v>
      </c>
      <c r="K15" s="76">
        <f t="shared" si="3"/>
        <v>1415</v>
      </c>
      <c r="L15" s="76">
        <f t="shared" si="3"/>
        <v>1099</v>
      </c>
      <c r="M15" s="76">
        <f t="shared" si="3"/>
        <v>1210</v>
      </c>
      <c r="N15" s="76">
        <f t="shared" si="3"/>
        <v>2930</v>
      </c>
      <c r="O15" s="187">
        <f t="shared" si="1"/>
        <v>14369</v>
      </c>
    </row>
    <row r="16" spans="1:15" ht="12.75" customHeight="1" thickBot="1">
      <c r="A16" s="259" t="s">
        <v>37</v>
      </c>
      <c r="B16" s="66" t="s">
        <v>36</v>
      </c>
      <c r="C16" s="77">
        <f aca="true" t="shared" si="4" ref="C16:N16">C20+C21</f>
        <v>130</v>
      </c>
      <c r="D16" s="77">
        <f t="shared" si="4"/>
        <v>137</v>
      </c>
      <c r="E16" s="77">
        <f t="shared" si="4"/>
        <v>167</v>
      </c>
      <c r="F16" s="77">
        <f t="shared" si="4"/>
        <v>162</v>
      </c>
      <c r="G16" s="77">
        <f t="shared" si="4"/>
        <v>153</v>
      </c>
      <c r="H16" s="77">
        <f t="shared" si="4"/>
        <v>175</v>
      </c>
      <c r="I16" s="77">
        <f t="shared" si="4"/>
        <v>181</v>
      </c>
      <c r="J16" s="77">
        <f t="shared" si="4"/>
        <v>160</v>
      </c>
      <c r="K16" s="77">
        <f t="shared" si="4"/>
        <v>187</v>
      </c>
      <c r="L16" s="77">
        <f t="shared" si="4"/>
        <v>220</v>
      </c>
      <c r="M16" s="77">
        <f t="shared" si="4"/>
        <v>176</v>
      </c>
      <c r="N16" s="77">
        <f t="shared" si="4"/>
        <v>433</v>
      </c>
      <c r="O16" s="188">
        <f t="shared" si="1"/>
        <v>2281</v>
      </c>
    </row>
    <row r="17" spans="1:15" ht="12.75" customHeight="1">
      <c r="A17" s="260"/>
      <c r="B17" s="97" t="s">
        <v>39</v>
      </c>
      <c r="C17" s="80">
        <v>108</v>
      </c>
      <c r="D17" s="80">
        <v>113</v>
      </c>
      <c r="E17" s="80">
        <v>142</v>
      </c>
      <c r="F17" s="80">
        <v>127</v>
      </c>
      <c r="G17" s="80">
        <v>125</v>
      </c>
      <c r="H17" s="80">
        <v>133</v>
      </c>
      <c r="I17" s="80">
        <v>139</v>
      </c>
      <c r="J17" s="80">
        <v>124</v>
      </c>
      <c r="K17" s="80">
        <v>149</v>
      </c>
      <c r="L17" s="80">
        <v>169</v>
      </c>
      <c r="M17" s="80">
        <v>123</v>
      </c>
      <c r="N17" s="80">
        <v>332</v>
      </c>
      <c r="O17" s="182">
        <f t="shared" si="1"/>
        <v>1784</v>
      </c>
    </row>
    <row r="18" spans="1:15" ht="12.75" customHeight="1">
      <c r="A18" s="260"/>
      <c r="B18" s="101" t="s">
        <v>27</v>
      </c>
      <c r="C18" s="81">
        <v>4</v>
      </c>
      <c r="D18" s="81">
        <v>13</v>
      </c>
      <c r="E18" s="81">
        <v>5</v>
      </c>
      <c r="F18" s="81">
        <v>16</v>
      </c>
      <c r="G18" s="81">
        <v>9</v>
      </c>
      <c r="H18" s="81">
        <v>23</v>
      </c>
      <c r="I18" s="81">
        <v>14</v>
      </c>
      <c r="J18" s="81">
        <v>14</v>
      </c>
      <c r="K18" s="81">
        <v>11</v>
      </c>
      <c r="L18" s="81">
        <v>17</v>
      </c>
      <c r="M18" s="81">
        <v>20</v>
      </c>
      <c r="N18" s="81">
        <v>43</v>
      </c>
      <c r="O18" s="183">
        <f t="shared" si="1"/>
        <v>189</v>
      </c>
    </row>
    <row r="19" spans="1:15" ht="12.75" customHeight="1" thickBot="1">
      <c r="A19" s="260"/>
      <c r="B19" s="104" t="s">
        <v>38</v>
      </c>
      <c r="C19" s="83">
        <v>1</v>
      </c>
      <c r="D19" s="83">
        <v>2</v>
      </c>
      <c r="E19" s="83">
        <v>2</v>
      </c>
      <c r="F19" s="83">
        <v>2</v>
      </c>
      <c r="G19" s="83">
        <v>6</v>
      </c>
      <c r="H19" s="83">
        <v>4</v>
      </c>
      <c r="I19" s="83">
        <v>4</v>
      </c>
      <c r="J19" s="83">
        <v>1</v>
      </c>
      <c r="K19" s="83">
        <v>4</v>
      </c>
      <c r="L19" s="83">
        <v>3</v>
      </c>
      <c r="M19" s="83">
        <v>2</v>
      </c>
      <c r="N19" s="83">
        <v>7</v>
      </c>
      <c r="O19" s="184">
        <f t="shared" si="1"/>
        <v>38</v>
      </c>
    </row>
    <row r="20" spans="1:16" ht="23.25" thickBot="1">
      <c r="A20" s="260"/>
      <c r="B20" s="25" t="s">
        <v>40</v>
      </c>
      <c r="C20" s="84">
        <f aca="true" t="shared" si="5" ref="C20:N20">SUM(C17:C19)</f>
        <v>113</v>
      </c>
      <c r="D20" s="84">
        <f t="shared" si="5"/>
        <v>128</v>
      </c>
      <c r="E20" s="84">
        <f t="shared" si="5"/>
        <v>149</v>
      </c>
      <c r="F20" s="84">
        <f t="shared" si="5"/>
        <v>145</v>
      </c>
      <c r="G20" s="84">
        <f t="shared" si="5"/>
        <v>140</v>
      </c>
      <c r="H20" s="84">
        <f t="shared" si="5"/>
        <v>160</v>
      </c>
      <c r="I20" s="84">
        <f t="shared" si="5"/>
        <v>157</v>
      </c>
      <c r="J20" s="84">
        <f t="shared" si="5"/>
        <v>139</v>
      </c>
      <c r="K20" s="84">
        <f t="shared" si="5"/>
        <v>164</v>
      </c>
      <c r="L20" s="84">
        <f t="shared" si="5"/>
        <v>189</v>
      </c>
      <c r="M20" s="84">
        <f t="shared" si="5"/>
        <v>145</v>
      </c>
      <c r="N20" s="84">
        <f t="shared" si="5"/>
        <v>382</v>
      </c>
      <c r="O20" s="189">
        <f t="shared" si="1"/>
        <v>2011</v>
      </c>
      <c r="P20" s="168"/>
    </row>
    <row r="21" spans="1:15" ht="34.5" thickBot="1">
      <c r="A21" s="260"/>
      <c r="B21" s="25" t="s">
        <v>41</v>
      </c>
      <c r="C21" s="85">
        <v>17</v>
      </c>
      <c r="D21" s="85">
        <v>9</v>
      </c>
      <c r="E21" s="85">
        <v>18</v>
      </c>
      <c r="F21" s="85">
        <v>17</v>
      </c>
      <c r="G21" s="85">
        <v>13</v>
      </c>
      <c r="H21" s="85">
        <v>15</v>
      </c>
      <c r="I21" s="85">
        <v>24</v>
      </c>
      <c r="J21" s="85">
        <v>21</v>
      </c>
      <c r="K21" s="85">
        <v>23</v>
      </c>
      <c r="L21" s="85">
        <v>31</v>
      </c>
      <c r="M21" s="85">
        <v>31</v>
      </c>
      <c r="N21" s="85">
        <v>51</v>
      </c>
      <c r="O21" s="190">
        <f t="shared" si="1"/>
        <v>270</v>
      </c>
    </row>
    <row r="22" spans="1:15" ht="12.75" customHeight="1" thickBot="1">
      <c r="A22" s="260"/>
      <c r="B22" s="66" t="s">
        <v>42</v>
      </c>
      <c r="C22" s="86">
        <f aca="true" t="shared" si="6" ref="C22:N22">SUM(C23:C25)</f>
        <v>299</v>
      </c>
      <c r="D22" s="86">
        <f t="shared" si="6"/>
        <v>314</v>
      </c>
      <c r="E22" s="86">
        <f t="shared" si="6"/>
        <v>344</v>
      </c>
      <c r="F22" s="86">
        <f t="shared" si="6"/>
        <v>318</v>
      </c>
      <c r="G22" s="86">
        <f t="shared" si="6"/>
        <v>321</v>
      </c>
      <c r="H22" s="86">
        <f t="shared" si="6"/>
        <v>461</v>
      </c>
      <c r="I22" s="86">
        <f t="shared" si="6"/>
        <v>338</v>
      </c>
      <c r="J22" s="86">
        <f t="shared" si="6"/>
        <v>337</v>
      </c>
      <c r="K22" s="86">
        <f t="shared" si="6"/>
        <v>356</v>
      </c>
      <c r="L22" s="86">
        <f t="shared" si="6"/>
        <v>506</v>
      </c>
      <c r="M22" s="86">
        <f t="shared" si="6"/>
        <v>353</v>
      </c>
      <c r="N22" s="86">
        <f t="shared" si="6"/>
        <v>1348</v>
      </c>
      <c r="O22" s="181">
        <f t="shared" si="1"/>
        <v>5295</v>
      </c>
    </row>
    <row r="23" spans="1:15" ht="12.75" customHeight="1">
      <c r="A23" s="260"/>
      <c r="B23" s="97" t="s">
        <v>39</v>
      </c>
      <c r="C23" s="80">
        <v>280</v>
      </c>
      <c r="D23" s="80">
        <v>252</v>
      </c>
      <c r="E23" s="80">
        <v>319</v>
      </c>
      <c r="F23" s="80">
        <v>255</v>
      </c>
      <c r="G23" s="80">
        <v>295</v>
      </c>
      <c r="H23" s="80">
        <v>334</v>
      </c>
      <c r="I23" s="80">
        <v>302</v>
      </c>
      <c r="J23" s="80">
        <v>276</v>
      </c>
      <c r="K23" s="80">
        <v>322</v>
      </c>
      <c r="L23" s="80">
        <v>408</v>
      </c>
      <c r="M23" s="80">
        <v>301</v>
      </c>
      <c r="N23" s="80">
        <v>1032</v>
      </c>
      <c r="O23" s="182">
        <f t="shared" si="1"/>
        <v>4376</v>
      </c>
    </row>
    <row r="24" spans="1:15" ht="12.75" customHeight="1">
      <c r="A24" s="260"/>
      <c r="B24" s="101" t="s">
        <v>27</v>
      </c>
      <c r="C24" s="81">
        <v>14</v>
      </c>
      <c r="D24" s="81">
        <v>62</v>
      </c>
      <c r="E24" s="81">
        <v>19</v>
      </c>
      <c r="F24" s="81">
        <v>63</v>
      </c>
      <c r="G24" s="81">
        <v>12</v>
      </c>
      <c r="H24" s="81">
        <v>107</v>
      </c>
      <c r="I24" s="81">
        <v>35</v>
      </c>
      <c r="J24" s="81">
        <v>56</v>
      </c>
      <c r="K24" s="81">
        <v>33</v>
      </c>
      <c r="L24" s="81">
        <v>70</v>
      </c>
      <c r="M24" s="81">
        <v>52</v>
      </c>
      <c r="N24" s="81">
        <v>281</v>
      </c>
      <c r="O24" s="183">
        <f t="shared" si="1"/>
        <v>804</v>
      </c>
    </row>
    <row r="25" spans="1:15" ht="12.75" customHeight="1" thickBot="1">
      <c r="A25" s="260"/>
      <c r="B25" s="104" t="s">
        <v>38</v>
      </c>
      <c r="C25" s="83">
        <v>5</v>
      </c>
      <c r="D25" s="83">
        <v>0</v>
      </c>
      <c r="E25" s="83">
        <v>6</v>
      </c>
      <c r="F25" s="83">
        <v>0</v>
      </c>
      <c r="G25" s="83">
        <v>14</v>
      </c>
      <c r="H25" s="83">
        <v>20</v>
      </c>
      <c r="I25" s="83">
        <v>1</v>
      </c>
      <c r="J25" s="83">
        <v>5</v>
      </c>
      <c r="K25" s="83">
        <v>1</v>
      </c>
      <c r="L25" s="83">
        <v>28</v>
      </c>
      <c r="M25" s="83">
        <v>0</v>
      </c>
      <c r="N25" s="83">
        <v>35</v>
      </c>
      <c r="O25" s="184">
        <f t="shared" si="1"/>
        <v>115</v>
      </c>
    </row>
    <row r="26" spans="1:15" ht="12.75" customHeight="1" thickBot="1">
      <c r="A26" s="260"/>
      <c r="B26" s="66" t="s">
        <v>43</v>
      </c>
      <c r="C26" s="86">
        <f aca="true" t="shared" si="7" ref="C26:N26">SUM(C27:C29)</f>
        <v>394</v>
      </c>
      <c r="D26" s="86">
        <f t="shared" si="7"/>
        <v>376</v>
      </c>
      <c r="E26" s="86">
        <f t="shared" si="7"/>
        <v>381</v>
      </c>
      <c r="F26" s="86">
        <f t="shared" si="7"/>
        <v>392</v>
      </c>
      <c r="G26" s="86">
        <f t="shared" si="7"/>
        <v>379</v>
      </c>
      <c r="H26" s="86">
        <f t="shared" si="7"/>
        <v>688</v>
      </c>
      <c r="I26" s="86">
        <f t="shared" si="7"/>
        <v>327</v>
      </c>
      <c r="J26" s="86">
        <f t="shared" si="7"/>
        <v>431</v>
      </c>
      <c r="K26" s="86">
        <f t="shared" si="7"/>
        <v>459</v>
      </c>
      <c r="L26" s="86">
        <f t="shared" si="7"/>
        <v>649</v>
      </c>
      <c r="M26" s="86">
        <f t="shared" si="7"/>
        <v>521</v>
      </c>
      <c r="N26" s="86">
        <f t="shared" si="7"/>
        <v>2328</v>
      </c>
      <c r="O26" s="181">
        <f t="shared" si="1"/>
        <v>7325</v>
      </c>
    </row>
    <row r="27" spans="1:15" ht="12.75" customHeight="1">
      <c r="A27" s="260"/>
      <c r="B27" s="97" t="s">
        <v>39</v>
      </c>
      <c r="C27" s="80">
        <v>394</v>
      </c>
      <c r="D27" s="80">
        <v>268</v>
      </c>
      <c r="E27" s="80">
        <v>358</v>
      </c>
      <c r="F27" s="80">
        <v>279</v>
      </c>
      <c r="G27" s="80">
        <v>319</v>
      </c>
      <c r="H27" s="80">
        <v>416</v>
      </c>
      <c r="I27" s="80">
        <v>270</v>
      </c>
      <c r="J27" s="80">
        <v>339</v>
      </c>
      <c r="K27" s="80">
        <v>403</v>
      </c>
      <c r="L27" s="80">
        <v>425</v>
      </c>
      <c r="M27" s="80">
        <v>413</v>
      </c>
      <c r="N27" s="80">
        <v>1608</v>
      </c>
      <c r="O27" s="182">
        <f t="shared" si="1"/>
        <v>5492</v>
      </c>
    </row>
    <row r="28" spans="1:15" ht="12.75" customHeight="1">
      <c r="A28" s="260"/>
      <c r="B28" s="101" t="s">
        <v>27</v>
      </c>
      <c r="C28" s="81">
        <v>0</v>
      </c>
      <c r="D28" s="81">
        <v>108</v>
      </c>
      <c r="E28" s="81">
        <v>18</v>
      </c>
      <c r="F28" s="81">
        <v>113</v>
      </c>
      <c r="G28" s="81">
        <v>16</v>
      </c>
      <c r="H28" s="81">
        <v>209</v>
      </c>
      <c r="I28" s="81">
        <v>57</v>
      </c>
      <c r="J28" s="81">
        <v>87</v>
      </c>
      <c r="K28" s="81">
        <v>55</v>
      </c>
      <c r="L28" s="81">
        <v>165</v>
      </c>
      <c r="M28" s="81">
        <v>108</v>
      </c>
      <c r="N28" s="81">
        <v>608</v>
      </c>
      <c r="O28" s="183">
        <f t="shared" si="1"/>
        <v>1544</v>
      </c>
    </row>
    <row r="29" spans="1:17" ht="12.75" customHeight="1" thickBot="1">
      <c r="A29" s="260"/>
      <c r="B29" s="98" t="s">
        <v>38</v>
      </c>
      <c r="C29" s="82">
        <v>0</v>
      </c>
      <c r="D29" s="82">
        <v>0</v>
      </c>
      <c r="E29" s="82">
        <v>5</v>
      </c>
      <c r="F29" s="82">
        <v>0</v>
      </c>
      <c r="G29" s="82">
        <v>44</v>
      </c>
      <c r="H29" s="82">
        <v>63</v>
      </c>
      <c r="I29" s="82">
        <v>0</v>
      </c>
      <c r="J29" s="82">
        <v>5</v>
      </c>
      <c r="K29" s="82">
        <v>1</v>
      </c>
      <c r="L29" s="82">
        <v>59</v>
      </c>
      <c r="M29" s="82">
        <v>0</v>
      </c>
      <c r="N29" s="82">
        <v>112</v>
      </c>
      <c r="O29" s="191">
        <f t="shared" si="1"/>
        <v>289</v>
      </c>
      <c r="Q29" s="169"/>
    </row>
    <row r="30" spans="1:15" ht="32.25" thickBot="1">
      <c r="A30" s="260"/>
      <c r="B30" s="18" t="s">
        <v>176</v>
      </c>
      <c r="C30" s="88">
        <f aca="true" t="shared" si="8" ref="C30:N30">SUM(C31:C33)</f>
        <v>115853</v>
      </c>
      <c r="D30" s="88">
        <f t="shared" si="8"/>
        <v>106900</v>
      </c>
      <c r="E30" s="88">
        <f t="shared" si="8"/>
        <v>118965</v>
      </c>
      <c r="F30" s="88">
        <f t="shared" si="8"/>
        <v>103845</v>
      </c>
      <c r="G30" s="88">
        <f t="shared" si="8"/>
        <v>120628</v>
      </c>
      <c r="H30" s="88">
        <f t="shared" si="8"/>
        <v>206777</v>
      </c>
      <c r="I30" s="88">
        <f t="shared" si="8"/>
        <v>157447</v>
      </c>
      <c r="J30" s="88">
        <f t="shared" si="8"/>
        <v>124909</v>
      </c>
      <c r="K30" s="88">
        <f t="shared" si="8"/>
        <v>145658</v>
      </c>
      <c r="L30" s="88">
        <f t="shared" si="8"/>
        <v>205115</v>
      </c>
      <c r="M30" s="88">
        <f t="shared" si="8"/>
        <v>133197</v>
      </c>
      <c r="N30" s="88">
        <f t="shared" si="8"/>
        <v>601642</v>
      </c>
      <c r="O30" s="192">
        <f t="shared" si="1"/>
        <v>2140936</v>
      </c>
    </row>
    <row r="31" spans="1:15" ht="12.75" customHeight="1">
      <c r="A31" s="260"/>
      <c r="B31" s="97" t="s">
        <v>39</v>
      </c>
      <c r="C31" s="80">
        <v>97631</v>
      </c>
      <c r="D31" s="80">
        <v>80807</v>
      </c>
      <c r="E31" s="80">
        <v>112622</v>
      </c>
      <c r="F31" s="80">
        <v>73819</v>
      </c>
      <c r="G31" s="80">
        <v>89532</v>
      </c>
      <c r="H31" s="80">
        <v>145281</v>
      </c>
      <c r="I31" s="80">
        <v>143143</v>
      </c>
      <c r="J31" s="80">
        <v>97971</v>
      </c>
      <c r="K31" s="80">
        <v>124560</v>
      </c>
      <c r="L31" s="80">
        <v>148480</v>
      </c>
      <c r="M31" s="80">
        <v>107439</v>
      </c>
      <c r="N31" s="80">
        <v>463139</v>
      </c>
      <c r="O31" s="182">
        <f t="shared" si="1"/>
        <v>1684424</v>
      </c>
    </row>
    <row r="32" spans="1:15" ht="12.75" customHeight="1">
      <c r="A32" s="260"/>
      <c r="B32" s="101" t="s">
        <v>27</v>
      </c>
      <c r="C32" s="81">
        <v>14149</v>
      </c>
      <c r="D32" s="81">
        <v>24641</v>
      </c>
      <c r="E32" s="81">
        <v>4785</v>
      </c>
      <c r="F32" s="81">
        <v>29824</v>
      </c>
      <c r="G32" s="81">
        <v>22329</v>
      </c>
      <c r="H32" s="81">
        <v>49710</v>
      </c>
      <c r="I32" s="81">
        <v>13242</v>
      </c>
      <c r="J32" s="81">
        <v>26300</v>
      </c>
      <c r="K32" s="81">
        <v>20655</v>
      </c>
      <c r="L32" s="81">
        <v>37133</v>
      </c>
      <c r="M32" s="81">
        <v>25644</v>
      </c>
      <c r="N32" s="81">
        <v>115932</v>
      </c>
      <c r="O32" s="183">
        <f t="shared" si="1"/>
        <v>384344</v>
      </c>
    </row>
    <row r="33" spans="1:15" ht="12.75" customHeight="1" thickBot="1">
      <c r="A33" s="260"/>
      <c r="B33" s="98" t="s">
        <v>38</v>
      </c>
      <c r="C33" s="82">
        <v>4073</v>
      </c>
      <c r="D33" s="82">
        <v>1452</v>
      </c>
      <c r="E33" s="82">
        <v>1558</v>
      </c>
      <c r="F33" s="82">
        <v>202</v>
      </c>
      <c r="G33" s="82">
        <v>8767</v>
      </c>
      <c r="H33" s="82">
        <v>11786</v>
      </c>
      <c r="I33" s="82">
        <v>1062</v>
      </c>
      <c r="J33" s="82">
        <v>638</v>
      </c>
      <c r="K33" s="82">
        <v>443</v>
      </c>
      <c r="L33" s="82">
        <v>19502</v>
      </c>
      <c r="M33" s="82">
        <v>114</v>
      </c>
      <c r="N33" s="82">
        <v>22571</v>
      </c>
      <c r="O33" s="191">
        <f t="shared" si="1"/>
        <v>72168</v>
      </c>
    </row>
    <row r="34" spans="1:15" ht="23.25" thickBot="1">
      <c r="A34" s="260"/>
      <c r="B34" s="89" t="s">
        <v>40</v>
      </c>
      <c r="C34" s="90">
        <v>149380</v>
      </c>
      <c r="D34" s="90">
        <v>123379</v>
      </c>
      <c r="E34" s="90">
        <v>291870</v>
      </c>
      <c r="F34" s="90">
        <v>125769</v>
      </c>
      <c r="G34" s="90">
        <v>145235</v>
      </c>
      <c r="H34" s="90">
        <v>239402</v>
      </c>
      <c r="I34" s="90">
        <v>199470</v>
      </c>
      <c r="J34" s="90">
        <v>160728</v>
      </c>
      <c r="K34" s="90">
        <v>180132</v>
      </c>
      <c r="L34" s="90">
        <v>265319</v>
      </c>
      <c r="M34" s="90">
        <v>204267</v>
      </c>
      <c r="N34" s="90">
        <v>767218</v>
      </c>
      <c r="O34" s="193">
        <f t="shared" si="1"/>
        <v>2852169</v>
      </c>
    </row>
    <row r="35" spans="1:15" ht="34.5" thickBot="1">
      <c r="A35" s="261"/>
      <c r="B35" s="25" t="s">
        <v>41</v>
      </c>
      <c r="C35" s="85">
        <v>33527</v>
      </c>
      <c r="D35" s="85">
        <v>16479</v>
      </c>
      <c r="E35" s="85">
        <v>172905</v>
      </c>
      <c r="F35" s="85">
        <v>21924</v>
      </c>
      <c r="G35" s="85">
        <v>24607</v>
      </c>
      <c r="H35" s="85">
        <v>32625</v>
      </c>
      <c r="I35" s="85">
        <v>42023</v>
      </c>
      <c r="J35" s="85">
        <v>35819</v>
      </c>
      <c r="K35" s="85">
        <v>34474</v>
      </c>
      <c r="L35" s="85">
        <v>60204</v>
      </c>
      <c r="M35" s="85">
        <v>71070</v>
      </c>
      <c r="N35" s="85">
        <v>165576</v>
      </c>
      <c r="O35" s="190">
        <f t="shared" si="1"/>
        <v>711233</v>
      </c>
    </row>
    <row r="36" spans="1:17" ht="21.75" thickBot="1">
      <c r="A36" s="262" t="s">
        <v>44</v>
      </c>
      <c r="B36" s="66" t="s">
        <v>174</v>
      </c>
      <c r="C36" s="91">
        <f aca="true" t="shared" si="9" ref="C36:O36">SUM(C37:C42)</f>
        <v>300</v>
      </c>
      <c r="D36" s="91">
        <f t="shared" si="9"/>
        <v>1078</v>
      </c>
      <c r="E36" s="91">
        <f t="shared" si="9"/>
        <v>1043</v>
      </c>
      <c r="F36" s="91">
        <f t="shared" si="9"/>
        <v>1114</v>
      </c>
      <c r="G36" s="91">
        <f t="shared" si="9"/>
        <v>1172</v>
      </c>
      <c r="H36" s="91">
        <f t="shared" si="9"/>
        <v>1744</v>
      </c>
      <c r="I36" s="91">
        <f t="shared" si="9"/>
        <v>587</v>
      </c>
      <c r="J36" s="91">
        <f t="shared" si="9"/>
        <v>949</v>
      </c>
      <c r="K36" s="91">
        <f t="shared" si="9"/>
        <v>1138</v>
      </c>
      <c r="L36" s="91">
        <f t="shared" si="9"/>
        <v>1086</v>
      </c>
      <c r="M36" s="91">
        <f t="shared" si="9"/>
        <v>1078</v>
      </c>
      <c r="N36" s="91">
        <f t="shared" si="9"/>
        <v>1628</v>
      </c>
      <c r="O36" s="194">
        <f t="shared" si="9"/>
        <v>12917</v>
      </c>
      <c r="Q36" s="168"/>
    </row>
    <row r="37" spans="1:15" ht="22.5">
      <c r="A37" s="263"/>
      <c r="B37" s="97" t="s">
        <v>34</v>
      </c>
      <c r="C37" s="94">
        <v>156</v>
      </c>
      <c r="D37" s="94">
        <v>551</v>
      </c>
      <c r="E37" s="94">
        <v>578</v>
      </c>
      <c r="F37" s="94">
        <v>587</v>
      </c>
      <c r="G37" s="94">
        <v>647</v>
      </c>
      <c r="H37" s="94">
        <v>932</v>
      </c>
      <c r="I37" s="94">
        <v>345</v>
      </c>
      <c r="J37" s="94">
        <v>501</v>
      </c>
      <c r="K37" s="94">
        <v>602</v>
      </c>
      <c r="L37" s="94">
        <v>564</v>
      </c>
      <c r="M37" s="94">
        <v>606</v>
      </c>
      <c r="N37" s="94">
        <v>897</v>
      </c>
      <c r="O37" s="195">
        <f aca="true" t="shared" si="10" ref="O37:O43">SUM(C37:N37)</f>
        <v>6966</v>
      </c>
    </row>
    <row r="38" spans="1:15" ht="22.5">
      <c r="A38" s="263"/>
      <c r="B38" s="101" t="s">
        <v>29</v>
      </c>
      <c r="C38" s="95">
        <v>49</v>
      </c>
      <c r="D38" s="95">
        <v>189</v>
      </c>
      <c r="E38" s="95">
        <v>169</v>
      </c>
      <c r="F38" s="95">
        <v>194</v>
      </c>
      <c r="G38" s="95">
        <v>190</v>
      </c>
      <c r="H38" s="95">
        <v>335</v>
      </c>
      <c r="I38" s="95">
        <v>67</v>
      </c>
      <c r="J38" s="95">
        <v>157</v>
      </c>
      <c r="K38" s="95">
        <v>178</v>
      </c>
      <c r="L38" s="95">
        <v>185</v>
      </c>
      <c r="M38" s="95">
        <v>176</v>
      </c>
      <c r="N38" s="95">
        <v>292</v>
      </c>
      <c r="O38" s="196">
        <f t="shared" si="10"/>
        <v>2181</v>
      </c>
    </row>
    <row r="39" spans="1:15" ht="15" customHeight="1">
      <c r="A39" s="263"/>
      <c r="B39" s="101" t="s">
        <v>30</v>
      </c>
      <c r="C39" s="95">
        <v>18</v>
      </c>
      <c r="D39" s="95">
        <v>118</v>
      </c>
      <c r="E39" s="95">
        <v>102</v>
      </c>
      <c r="F39" s="95">
        <v>142</v>
      </c>
      <c r="G39" s="95">
        <v>133</v>
      </c>
      <c r="H39" s="95">
        <v>203</v>
      </c>
      <c r="I39" s="95">
        <v>28</v>
      </c>
      <c r="J39" s="95">
        <v>109</v>
      </c>
      <c r="K39" s="95">
        <v>129</v>
      </c>
      <c r="L39" s="95">
        <v>133</v>
      </c>
      <c r="M39" s="95">
        <v>100</v>
      </c>
      <c r="N39" s="95">
        <v>158</v>
      </c>
      <c r="O39" s="196">
        <f t="shared" si="10"/>
        <v>1373</v>
      </c>
    </row>
    <row r="40" spans="1:15" ht="12.75" customHeight="1">
      <c r="A40" s="263"/>
      <c r="B40" s="101" t="s">
        <v>28</v>
      </c>
      <c r="C40" s="95">
        <v>32</v>
      </c>
      <c r="D40" s="95">
        <v>95</v>
      </c>
      <c r="E40" s="95">
        <v>77</v>
      </c>
      <c r="F40" s="95">
        <v>98</v>
      </c>
      <c r="G40" s="95">
        <v>111</v>
      </c>
      <c r="H40" s="95">
        <v>168</v>
      </c>
      <c r="I40" s="95">
        <v>73</v>
      </c>
      <c r="J40" s="95">
        <v>101</v>
      </c>
      <c r="K40" s="95">
        <v>126</v>
      </c>
      <c r="L40" s="95">
        <v>109</v>
      </c>
      <c r="M40" s="95">
        <v>98</v>
      </c>
      <c r="N40" s="95">
        <v>145</v>
      </c>
      <c r="O40" s="196">
        <f t="shared" si="10"/>
        <v>1233</v>
      </c>
    </row>
    <row r="41" spans="1:15" ht="12.75" customHeight="1">
      <c r="A41" s="263"/>
      <c r="B41" s="101" t="s">
        <v>25</v>
      </c>
      <c r="C41" s="95">
        <v>41</v>
      </c>
      <c r="D41" s="95">
        <v>105</v>
      </c>
      <c r="E41" s="95">
        <v>102</v>
      </c>
      <c r="F41" s="95">
        <v>86</v>
      </c>
      <c r="G41" s="95">
        <v>82</v>
      </c>
      <c r="H41" s="95">
        <v>96</v>
      </c>
      <c r="I41" s="95">
        <v>67</v>
      </c>
      <c r="J41" s="95">
        <v>69</v>
      </c>
      <c r="K41" s="95">
        <v>90</v>
      </c>
      <c r="L41" s="95">
        <v>85</v>
      </c>
      <c r="M41" s="95">
        <v>87</v>
      </c>
      <c r="N41" s="95">
        <v>119</v>
      </c>
      <c r="O41" s="196">
        <f t="shared" si="10"/>
        <v>1029</v>
      </c>
    </row>
    <row r="42" spans="1:15" ht="23.25" thickBot="1">
      <c r="A42" s="263"/>
      <c r="B42" s="98" t="s">
        <v>26</v>
      </c>
      <c r="C42" s="96">
        <v>4</v>
      </c>
      <c r="D42" s="96">
        <v>20</v>
      </c>
      <c r="E42" s="96">
        <v>15</v>
      </c>
      <c r="F42" s="96">
        <v>7</v>
      </c>
      <c r="G42" s="96">
        <v>9</v>
      </c>
      <c r="H42" s="96">
        <v>10</v>
      </c>
      <c r="I42" s="96">
        <v>7</v>
      </c>
      <c r="J42" s="96">
        <v>12</v>
      </c>
      <c r="K42" s="96">
        <v>13</v>
      </c>
      <c r="L42" s="96">
        <v>10</v>
      </c>
      <c r="M42" s="96">
        <v>11</v>
      </c>
      <c r="N42" s="96">
        <v>17</v>
      </c>
      <c r="O42" s="197">
        <f t="shared" si="10"/>
        <v>135</v>
      </c>
    </row>
    <row r="43" spans="1:15" ht="21.75" thickBot="1">
      <c r="A43" s="263"/>
      <c r="B43" s="87" t="s">
        <v>175</v>
      </c>
      <c r="C43" s="92">
        <v>130</v>
      </c>
      <c r="D43" s="92">
        <v>137</v>
      </c>
      <c r="E43" s="92">
        <v>167</v>
      </c>
      <c r="F43" s="92">
        <v>162</v>
      </c>
      <c r="G43" s="92">
        <v>153</v>
      </c>
      <c r="H43" s="92">
        <v>175</v>
      </c>
      <c r="I43" s="92">
        <v>181</v>
      </c>
      <c r="J43" s="92">
        <v>160</v>
      </c>
      <c r="K43" s="92">
        <v>187</v>
      </c>
      <c r="L43" s="92">
        <v>220</v>
      </c>
      <c r="M43" s="92">
        <v>176</v>
      </c>
      <c r="N43" s="92">
        <v>433</v>
      </c>
      <c r="O43" s="198">
        <f t="shared" si="10"/>
        <v>2281</v>
      </c>
    </row>
    <row r="44" spans="1:15" ht="24.75" customHeight="1" thickBot="1">
      <c r="A44" s="264"/>
      <c r="B44" s="30" t="s">
        <v>5</v>
      </c>
      <c r="C44" s="34">
        <f aca="true" t="shared" si="11" ref="C44:O44">C36+C43</f>
        <v>430</v>
      </c>
      <c r="D44" s="34">
        <f t="shared" si="11"/>
        <v>1215</v>
      </c>
      <c r="E44" s="34">
        <f t="shared" si="11"/>
        <v>1210</v>
      </c>
      <c r="F44" s="34">
        <f t="shared" si="11"/>
        <v>1276</v>
      </c>
      <c r="G44" s="34">
        <f t="shared" si="11"/>
        <v>1325</v>
      </c>
      <c r="H44" s="34">
        <f t="shared" si="11"/>
        <v>1919</v>
      </c>
      <c r="I44" s="34">
        <f t="shared" si="11"/>
        <v>768</v>
      </c>
      <c r="J44" s="34">
        <f t="shared" si="11"/>
        <v>1109</v>
      </c>
      <c r="K44" s="34">
        <f t="shared" si="11"/>
        <v>1325</v>
      </c>
      <c r="L44" s="34">
        <f t="shared" si="11"/>
        <v>1306</v>
      </c>
      <c r="M44" s="34">
        <f t="shared" si="11"/>
        <v>1254</v>
      </c>
      <c r="N44" s="34">
        <f t="shared" si="11"/>
        <v>2061</v>
      </c>
      <c r="O44" s="173">
        <f t="shared" si="11"/>
        <v>15198</v>
      </c>
    </row>
    <row r="45" spans="1:10" ht="12.75">
      <c r="A45" s="3" t="s">
        <v>32</v>
      </c>
      <c r="J45" s="3" t="s">
        <v>33</v>
      </c>
    </row>
    <row r="46" spans="1:15" ht="12.75" customHeight="1">
      <c r="A46" s="149"/>
      <c r="B46" s="147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99"/>
    </row>
    <row r="47" spans="1:15" ht="12.75" customHeight="1">
      <c r="A47" s="149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99"/>
    </row>
    <row r="48" spans="1:15" ht="12.75" customHeight="1">
      <c r="A48" s="149"/>
      <c r="B48" s="147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99"/>
    </row>
    <row r="49" spans="1:15" ht="12.75" customHeight="1">
      <c r="A49" s="149"/>
      <c r="B49" s="147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99"/>
    </row>
  </sheetData>
  <sheetProtection/>
  <mergeCells count="4">
    <mergeCell ref="A5:A15"/>
    <mergeCell ref="C3:O3"/>
    <mergeCell ref="A16:A35"/>
    <mergeCell ref="A36:A44"/>
  </mergeCells>
  <printOptions horizontalCentered="1"/>
  <pageMargins left="0" right="0" top="0.5" bottom="0.5" header="0.5" footer="0.5"/>
  <pageSetup firstPageNumber="7" useFirstPageNumber="1" horizontalDpi="600" verticalDpi="600" orientation="portrait" paperSize="9" r:id="rId1"/>
  <rowBreaks count="1" manualBreakCount="1">
    <brk id="18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2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160" customWidth="1"/>
    <col min="2" max="8" width="12.421875" style="1" customWidth="1"/>
    <col min="9" max="16384" width="9.140625" style="1" customWidth="1"/>
  </cols>
  <sheetData>
    <row r="1" spans="1:8" s="3" customFormat="1" ht="19.5" customHeight="1">
      <c r="A1" s="176" t="s">
        <v>163</v>
      </c>
      <c r="B1" s="176"/>
      <c r="C1" s="176"/>
      <c r="D1" s="176"/>
      <c r="E1" s="176"/>
      <c r="F1" s="176"/>
      <c r="G1" s="176"/>
      <c r="H1" s="176"/>
    </row>
    <row r="2" ht="6.75" customHeight="1" thickBot="1"/>
    <row r="3" spans="1:8" s="3" customFormat="1" ht="13.5" customHeight="1" thickBot="1">
      <c r="A3" s="11"/>
      <c r="B3" s="265" t="s">
        <v>46</v>
      </c>
      <c r="C3" s="265"/>
      <c r="D3" s="265"/>
      <c r="E3" s="265"/>
      <c r="F3" s="265"/>
      <c r="G3" s="265"/>
      <c r="H3" s="265"/>
    </row>
    <row r="4" spans="1:8" s="3" customFormat="1" ht="21.75" thickBot="1">
      <c r="A4" s="107"/>
      <c r="B4" s="175" t="s">
        <v>25</v>
      </c>
      <c r="C4" s="175" t="s">
        <v>34</v>
      </c>
      <c r="D4" s="175" t="s">
        <v>26</v>
      </c>
      <c r="E4" s="175" t="s">
        <v>28</v>
      </c>
      <c r="F4" s="175" t="s">
        <v>29</v>
      </c>
      <c r="G4" s="175" t="s">
        <v>30</v>
      </c>
      <c r="H4" s="175" t="s">
        <v>0</v>
      </c>
    </row>
    <row r="5" spans="1:8" s="3" customFormat="1" ht="12.75" customHeight="1">
      <c r="A5" s="97" t="s">
        <v>12</v>
      </c>
      <c r="B5" s="39">
        <v>33841</v>
      </c>
      <c r="C5" s="39">
        <v>488135</v>
      </c>
      <c r="D5" s="39">
        <v>4331</v>
      </c>
      <c r="E5" s="39">
        <v>42849</v>
      </c>
      <c r="F5" s="39">
        <v>83515</v>
      </c>
      <c r="G5" s="155">
        <v>40844</v>
      </c>
      <c r="H5" s="156">
        <f aca="true" t="shared" si="0" ref="H5:H16">SUM(B5:G5)</f>
        <v>693515</v>
      </c>
    </row>
    <row r="6" spans="1:8" s="3" customFormat="1" ht="12.75" customHeight="1">
      <c r="A6" s="101" t="s">
        <v>13</v>
      </c>
      <c r="B6" s="35">
        <v>110967</v>
      </c>
      <c r="C6" s="35">
        <v>658745</v>
      </c>
      <c r="D6" s="35">
        <v>13860</v>
      </c>
      <c r="E6" s="35">
        <v>97153</v>
      </c>
      <c r="F6" s="35">
        <v>93344</v>
      </c>
      <c r="G6" s="157">
        <v>43429</v>
      </c>
      <c r="H6" s="24">
        <f t="shared" si="0"/>
        <v>1017498</v>
      </c>
    </row>
    <row r="7" spans="1:8" s="3" customFormat="1" ht="12.75" customHeight="1">
      <c r="A7" s="101" t="s">
        <v>14</v>
      </c>
      <c r="B7" s="35">
        <v>117712</v>
      </c>
      <c r="C7" s="35">
        <v>754588</v>
      </c>
      <c r="D7" s="35">
        <v>9570</v>
      </c>
      <c r="E7" s="35">
        <v>104066</v>
      </c>
      <c r="F7" s="35">
        <v>92621</v>
      </c>
      <c r="G7" s="157">
        <v>37814</v>
      </c>
      <c r="H7" s="24">
        <f t="shared" si="0"/>
        <v>1116371</v>
      </c>
    </row>
    <row r="8" spans="1:8" s="3" customFormat="1" ht="12.75" customHeight="1">
      <c r="A8" s="101" t="s">
        <v>15</v>
      </c>
      <c r="B8" s="35">
        <v>47794</v>
      </c>
      <c r="C8" s="35">
        <v>576278</v>
      </c>
      <c r="D8" s="35">
        <v>6460</v>
      </c>
      <c r="E8" s="35">
        <v>67967</v>
      </c>
      <c r="F8" s="35">
        <v>49579</v>
      </c>
      <c r="G8" s="157">
        <v>21916</v>
      </c>
      <c r="H8" s="24">
        <f t="shared" si="0"/>
        <v>769994</v>
      </c>
    </row>
    <row r="9" spans="1:8" s="3" customFormat="1" ht="12.75" customHeight="1">
      <c r="A9" s="101" t="s">
        <v>16</v>
      </c>
      <c r="B9" s="35">
        <v>46659</v>
      </c>
      <c r="C9" s="35">
        <v>969894</v>
      </c>
      <c r="D9" s="35">
        <v>10509</v>
      </c>
      <c r="E9" s="35">
        <v>81514</v>
      </c>
      <c r="F9" s="35">
        <v>85992</v>
      </c>
      <c r="G9" s="157">
        <v>30437</v>
      </c>
      <c r="H9" s="24">
        <f t="shared" si="0"/>
        <v>1225005</v>
      </c>
    </row>
    <row r="10" spans="1:8" s="3" customFormat="1" ht="12.75" customHeight="1">
      <c r="A10" s="101" t="s">
        <v>17</v>
      </c>
      <c r="B10" s="35">
        <v>67965</v>
      </c>
      <c r="C10" s="35">
        <v>574083</v>
      </c>
      <c r="D10" s="35">
        <v>5486</v>
      </c>
      <c r="E10" s="35">
        <v>74685</v>
      </c>
      <c r="F10" s="35">
        <v>109610</v>
      </c>
      <c r="G10" s="157">
        <v>29034</v>
      </c>
      <c r="H10" s="24">
        <f t="shared" si="0"/>
        <v>860863</v>
      </c>
    </row>
    <row r="11" spans="1:8" s="3" customFormat="1" ht="12.75" customHeight="1">
      <c r="A11" s="101" t="s">
        <v>18</v>
      </c>
      <c r="B11" s="35">
        <v>25053</v>
      </c>
      <c r="C11" s="35">
        <v>703662</v>
      </c>
      <c r="D11" s="35">
        <v>7628</v>
      </c>
      <c r="E11" s="35">
        <v>85640</v>
      </c>
      <c r="F11" s="35">
        <v>87821</v>
      </c>
      <c r="G11" s="157">
        <v>43246</v>
      </c>
      <c r="H11" s="24">
        <f t="shared" si="0"/>
        <v>953050</v>
      </c>
    </row>
    <row r="12" spans="1:8" s="3" customFormat="1" ht="12.75" customHeight="1">
      <c r="A12" s="101" t="s">
        <v>19</v>
      </c>
      <c r="B12" s="35">
        <v>115678</v>
      </c>
      <c r="C12" s="35">
        <v>493316</v>
      </c>
      <c r="D12" s="35">
        <v>11269</v>
      </c>
      <c r="E12" s="35">
        <v>96050</v>
      </c>
      <c r="F12" s="35">
        <v>100658</v>
      </c>
      <c r="G12" s="157">
        <v>31662</v>
      </c>
      <c r="H12" s="24">
        <f t="shared" si="0"/>
        <v>848633</v>
      </c>
    </row>
    <row r="13" spans="1:8" s="3" customFormat="1" ht="12.75" customHeight="1">
      <c r="A13" s="101" t="s">
        <v>20</v>
      </c>
      <c r="B13" s="35">
        <v>159943</v>
      </c>
      <c r="C13" s="35">
        <v>478329</v>
      </c>
      <c r="D13" s="35">
        <v>-7872</v>
      </c>
      <c r="E13" s="35">
        <v>79703</v>
      </c>
      <c r="F13" s="35">
        <v>82677</v>
      </c>
      <c r="G13" s="157">
        <v>40722</v>
      </c>
      <c r="H13" s="24">
        <f t="shared" si="0"/>
        <v>833502</v>
      </c>
    </row>
    <row r="14" spans="1:8" s="3" customFormat="1" ht="12.75" customHeight="1">
      <c r="A14" s="101" t="s">
        <v>21</v>
      </c>
      <c r="B14" s="35">
        <v>78839</v>
      </c>
      <c r="C14" s="35">
        <v>569222</v>
      </c>
      <c r="D14" s="35">
        <v>6784</v>
      </c>
      <c r="E14" s="35">
        <v>67781</v>
      </c>
      <c r="F14" s="35">
        <v>70498</v>
      </c>
      <c r="G14" s="157">
        <v>29562</v>
      </c>
      <c r="H14" s="24">
        <f t="shared" si="0"/>
        <v>822686</v>
      </c>
    </row>
    <row r="15" spans="1:8" s="3" customFormat="1" ht="12.75" customHeight="1">
      <c r="A15" s="101" t="s">
        <v>22</v>
      </c>
      <c r="B15" s="35">
        <v>47292</v>
      </c>
      <c r="C15" s="35">
        <v>448268</v>
      </c>
      <c r="D15" s="35">
        <v>9584</v>
      </c>
      <c r="E15" s="35">
        <v>37722</v>
      </c>
      <c r="F15" s="35">
        <v>83269</v>
      </c>
      <c r="G15" s="157">
        <v>37194</v>
      </c>
      <c r="H15" s="24">
        <f t="shared" si="0"/>
        <v>663329</v>
      </c>
    </row>
    <row r="16" spans="1:8" s="3" customFormat="1" ht="12.75" customHeight="1" thickBot="1">
      <c r="A16" s="98" t="s">
        <v>23</v>
      </c>
      <c r="B16" s="36">
        <v>116993</v>
      </c>
      <c r="C16" s="36">
        <v>1193705</v>
      </c>
      <c r="D16" s="36">
        <v>8206</v>
      </c>
      <c r="E16" s="36">
        <v>145828</v>
      </c>
      <c r="F16" s="36">
        <v>198211</v>
      </c>
      <c r="G16" s="158">
        <v>64849</v>
      </c>
      <c r="H16" s="159">
        <f t="shared" si="0"/>
        <v>1727792</v>
      </c>
    </row>
    <row r="17" spans="1:8" s="3" customFormat="1" ht="12.75" customHeight="1" thickBot="1">
      <c r="A17" s="30" t="s">
        <v>47</v>
      </c>
      <c r="B17" s="52">
        <f aca="true" t="shared" si="1" ref="B17:H17">SUM(B5:B16)</f>
        <v>968736</v>
      </c>
      <c r="C17" s="52">
        <f t="shared" si="1"/>
        <v>7908225</v>
      </c>
      <c r="D17" s="52">
        <f t="shared" si="1"/>
        <v>85815</v>
      </c>
      <c r="E17" s="52">
        <f t="shared" si="1"/>
        <v>980958</v>
      </c>
      <c r="F17" s="52">
        <f t="shared" si="1"/>
        <v>1137795</v>
      </c>
      <c r="G17" s="52">
        <f t="shared" si="1"/>
        <v>450709</v>
      </c>
      <c r="H17" s="52">
        <f t="shared" si="1"/>
        <v>11532238</v>
      </c>
    </row>
    <row r="18" spans="1:8" s="3" customFormat="1" ht="12.75" customHeight="1">
      <c r="A18" s="97" t="s">
        <v>12</v>
      </c>
      <c r="B18" s="39">
        <v>28923</v>
      </c>
      <c r="C18" s="39">
        <v>326947</v>
      </c>
      <c r="D18" s="39">
        <v>6088</v>
      </c>
      <c r="E18" s="39">
        <v>46598</v>
      </c>
      <c r="F18" s="39">
        <v>51644</v>
      </c>
      <c r="G18" s="155">
        <v>25331</v>
      </c>
      <c r="H18" s="156">
        <f aca="true" t="shared" si="2" ref="H18:H29">SUM(B18:G18)</f>
        <v>485531</v>
      </c>
    </row>
    <row r="19" spans="1:8" s="3" customFormat="1" ht="12.75" customHeight="1">
      <c r="A19" s="101" t="s">
        <v>13</v>
      </c>
      <c r="B19" s="35">
        <v>14117</v>
      </c>
      <c r="C19" s="35">
        <v>341678</v>
      </c>
      <c r="D19" s="35">
        <v>1497</v>
      </c>
      <c r="E19" s="35">
        <v>42997</v>
      </c>
      <c r="F19" s="35">
        <v>80224</v>
      </c>
      <c r="G19" s="157">
        <v>42325</v>
      </c>
      <c r="H19" s="24">
        <f t="shared" si="2"/>
        <v>522838</v>
      </c>
    </row>
    <row r="20" spans="1:8" s="3" customFormat="1" ht="12.75" customHeight="1">
      <c r="A20" s="101" t="s">
        <v>14</v>
      </c>
      <c r="B20" s="35">
        <v>19234</v>
      </c>
      <c r="C20" s="35">
        <v>465227</v>
      </c>
      <c r="D20" s="35">
        <v>7679</v>
      </c>
      <c r="E20" s="35">
        <v>117439</v>
      </c>
      <c r="F20" s="35">
        <v>133936</v>
      </c>
      <c r="G20" s="157">
        <v>45509</v>
      </c>
      <c r="H20" s="24">
        <f t="shared" si="2"/>
        <v>789024</v>
      </c>
    </row>
    <row r="21" spans="1:8" s="3" customFormat="1" ht="12.75" customHeight="1">
      <c r="A21" s="101" t="s">
        <v>15</v>
      </c>
      <c r="B21" s="35">
        <v>37666</v>
      </c>
      <c r="C21" s="35">
        <v>582452</v>
      </c>
      <c r="D21" s="35">
        <v>9846</v>
      </c>
      <c r="E21" s="35">
        <v>61667</v>
      </c>
      <c r="F21" s="35">
        <v>93429</v>
      </c>
      <c r="G21" s="157">
        <v>38413</v>
      </c>
      <c r="H21" s="24">
        <f t="shared" si="2"/>
        <v>823473</v>
      </c>
    </row>
    <row r="22" spans="1:8" s="3" customFormat="1" ht="12.75" customHeight="1">
      <c r="A22" s="101" t="s">
        <v>16</v>
      </c>
      <c r="B22" s="35">
        <v>51795</v>
      </c>
      <c r="C22" s="35">
        <v>470052</v>
      </c>
      <c r="D22" s="35">
        <v>9161</v>
      </c>
      <c r="E22" s="35">
        <v>75425</v>
      </c>
      <c r="F22" s="35">
        <v>129286</v>
      </c>
      <c r="G22" s="157">
        <v>40949</v>
      </c>
      <c r="H22" s="24">
        <f t="shared" si="2"/>
        <v>776668</v>
      </c>
    </row>
    <row r="23" spans="1:8" s="3" customFormat="1" ht="12.75" customHeight="1">
      <c r="A23" s="101" t="s">
        <v>17</v>
      </c>
      <c r="B23" s="35">
        <v>53972</v>
      </c>
      <c r="C23" s="35">
        <v>565146</v>
      </c>
      <c r="D23" s="35">
        <v>23852</v>
      </c>
      <c r="E23" s="35">
        <v>103461</v>
      </c>
      <c r="F23" s="35">
        <v>80216</v>
      </c>
      <c r="G23" s="157">
        <v>63084</v>
      </c>
      <c r="H23" s="24">
        <f t="shared" si="2"/>
        <v>889731</v>
      </c>
    </row>
    <row r="24" spans="1:8" s="3" customFormat="1" ht="12.75" customHeight="1">
      <c r="A24" s="101" t="s">
        <v>18</v>
      </c>
      <c r="B24" s="35">
        <v>42866</v>
      </c>
      <c r="C24" s="35">
        <v>598892</v>
      </c>
      <c r="D24" s="35">
        <v>16155</v>
      </c>
      <c r="E24" s="35">
        <v>89226</v>
      </c>
      <c r="F24" s="35">
        <v>119304</v>
      </c>
      <c r="G24" s="157">
        <v>49007</v>
      </c>
      <c r="H24" s="24">
        <f t="shared" si="2"/>
        <v>915450</v>
      </c>
    </row>
    <row r="25" spans="1:8" s="3" customFormat="1" ht="12.75" customHeight="1">
      <c r="A25" s="101" t="s">
        <v>19</v>
      </c>
      <c r="B25" s="35">
        <v>34614</v>
      </c>
      <c r="C25" s="35">
        <v>514987</v>
      </c>
      <c r="D25" s="35">
        <v>5029</v>
      </c>
      <c r="E25" s="35">
        <v>85111</v>
      </c>
      <c r="F25" s="35">
        <v>109109</v>
      </c>
      <c r="G25" s="157">
        <v>44497</v>
      </c>
      <c r="H25" s="24">
        <f t="shared" si="2"/>
        <v>793347</v>
      </c>
    </row>
    <row r="26" spans="1:8" s="3" customFormat="1" ht="12.75" customHeight="1">
      <c r="A26" s="101" t="s">
        <v>20</v>
      </c>
      <c r="B26" s="35">
        <v>99075</v>
      </c>
      <c r="C26" s="35">
        <v>490453</v>
      </c>
      <c r="D26" s="35">
        <v>10539</v>
      </c>
      <c r="E26" s="35">
        <v>97137</v>
      </c>
      <c r="F26" s="35">
        <v>116664</v>
      </c>
      <c r="G26" s="157">
        <v>50044</v>
      </c>
      <c r="H26" s="24">
        <f t="shared" si="2"/>
        <v>863912</v>
      </c>
    </row>
    <row r="27" spans="1:8" s="3" customFormat="1" ht="12.75" customHeight="1">
      <c r="A27" s="101" t="s">
        <v>21</v>
      </c>
      <c r="B27" s="35">
        <v>45862</v>
      </c>
      <c r="C27" s="35">
        <v>476052</v>
      </c>
      <c r="D27" s="35">
        <v>3048</v>
      </c>
      <c r="E27" s="35">
        <v>76984</v>
      </c>
      <c r="F27" s="35">
        <v>104420</v>
      </c>
      <c r="G27" s="157">
        <v>46532</v>
      </c>
      <c r="H27" s="24">
        <f t="shared" si="2"/>
        <v>752898</v>
      </c>
    </row>
    <row r="28" spans="1:8" s="3" customFormat="1" ht="12.75" customHeight="1">
      <c r="A28" s="101" t="s">
        <v>22</v>
      </c>
      <c r="B28" s="35">
        <v>91361</v>
      </c>
      <c r="C28" s="35">
        <v>469643</v>
      </c>
      <c r="D28" s="35">
        <v>5696</v>
      </c>
      <c r="E28" s="35">
        <v>60906</v>
      </c>
      <c r="F28" s="35">
        <v>90069</v>
      </c>
      <c r="G28" s="157">
        <v>39334</v>
      </c>
      <c r="H28" s="24">
        <f t="shared" si="2"/>
        <v>757009</v>
      </c>
    </row>
    <row r="29" spans="1:8" s="3" customFormat="1" ht="12.75" customHeight="1" thickBot="1">
      <c r="A29" s="98" t="s">
        <v>23</v>
      </c>
      <c r="B29" s="36">
        <v>159923</v>
      </c>
      <c r="C29" s="36">
        <v>788389</v>
      </c>
      <c r="D29" s="36">
        <v>6920</v>
      </c>
      <c r="E29" s="36">
        <v>92951</v>
      </c>
      <c r="F29" s="36">
        <v>194753</v>
      </c>
      <c r="G29" s="158">
        <v>70055</v>
      </c>
      <c r="H29" s="159">
        <f t="shared" si="2"/>
        <v>1312991</v>
      </c>
    </row>
    <row r="30" spans="1:8" s="3" customFormat="1" ht="12.75" customHeight="1" thickBot="1">
      <c r="A30" s="30" t="s">
        <v>48</v>
      </c>
      <c r="B30" s="52">
        <f aca="true" t="shared" si="3" ref="B30:H30">SUM(B18:B29)</f>
        <v>679408</v>
      </c>
      <c r="C30" s="52">
        <f t="shared" si="3"/>
        <v>6089918</v>
      </c>
      <c r="D30" s="52">
        <f t="shared" si="3"/>
        <v>105510</v>
      </c>
      <c r="E30" s="52">
        <f t="shared" si="3"/>
        <v>949902</v>
      </c>
      <c r="F30" s="52">
        <f t="shared" si="3"/>
        <v>1303054</v>
      </c>
      <c r="G30" s="52">
        <f t="shared" si="3"/>
        <v>555080</v>
      </c>
      <c r="H30" s="52">
        <f t="shared" si="3"/>
        <v>9682872</v>
      </c>
    </row>
    <row r="31" spans="1:8" s="3" customFormat="1" ht="12.75" customHeight="1">
      <c r="A31" s="97" t="s">
        <v>12</v>
      </c>
      <c r="B31" s="39">
        <v>40285</v>
      </c>
      <c r="C31" s="39">
        <v>275392</v>
      </c>
      <c r="D31" s="39">
        <v>2519</v>
      </c>
      <c r="E31" s="39">
        <v>29882</v>
      </c>
      <c r="F31" s="39">
        <v>60187</v>
      </c>
      <c r="G31" s="155">
        <v>17251</v>
      </c>
      <c r="H31" s="156">
        <f aca="true" t="shared" si="4" ref="H31:H42">SUM(B31:G31)</f>
        <v>425516</v>
      </c>
    </row>
    <row r="32" spans="1:8" s="3" customFormat="1" ht="12.75" customHeight="1">
      <c r="A32" s="101" t="s">
        <v>13</v>
      </c>
      <c r="B32" s="35">
        <v>41667</v>
      </c>
      <c r="C32" s="35">
        <v>308321</v>
      </c>
      <c r="D32" s="35">
        <v>4854</v>
      </c>
      <c r="E32" s="35">
        <v>38365</v>
      </c>
      <c r="F32" s="35">
        <v>51004</v>
      </c>
      <c r="G32" s="157">
        <v>20866</v>
      </c>
      <c r="H32" s="24">
        <f t="shared" si="4"/>
        <v>465077</v>
      </c>
    </row>
    <row r="33" spans="1:8" s="3" customFormat="1" ht="12.75" customHeight="1">
      <c r="A33" s="101" t="s">
        <v>14</v>
      </c>
      <c r="B33" s="35">
        <v>44182</v>
      </c>
      <c r="C33" s="35">
        <v>437672</v>
      </c>
      <c r="D33" s="35">
        <v>2254</v>
      </c>
      <c r="E33" s="35">
        <v>62613</v>
      </c>
      <c r="F33" s="35">
        <v>103713</v>
      </c>
      <c r="G33" s="157">
        <v>48276</v>
      </c>
      <c r="H33" s="24">
        <f t="shared" si="4"/>
        <v>698710</v>
      </c>
    </row>
    <row r="34" spans="1:8" s="3" customFormat="1" ht="12.75" customHeight="1">
      <c r="A34" s="101" t="s">
        <v>15</v>
      </c>
      <c r="B34" s="35">
        <v>27437</v>
      </c>
      <c r="C34" s="35">
        <v>288110</v>
      </c>
      <c r="D34" s="35">
        <v>13825</v>
      </c>
      <c r="E34" s="35">
        <v>80598</v>
      </c>
      <c r="F34" s="35">
        <v>94359</v>
      </c>
      <c r="G34" s="157">
        <v>29596</v>
      </c>
      <c r="H34" s="24">
        <f t="shared" si="4"/>
        <v>533925</v>
      </c>
    </row>
    <row r="35" spans="1:8" s="3" customFormat="1" ht="12.75" customHeight="1">
      <c r="A35" s="101" t="s">
        <v>16</v>
      </c>
      <c r="B35" s="35">
        <v>28914</v>
      </c>
      <c r="C35" s="35">
        <v>712990</v>
      </c>
      <c r="D35" s="35">
        <v>13811</v>
      </c>
      <c r="E35" s="35">
        <v>73543</v>
      </c>
      <c r="F35" s="35">
        <v>90724</v>
      </c>
      <c r="G35" s="157">
        <v>22202</v>
      </c>
      <c r="H35" s="24">
        <f t="shared" si="4"/>
        <v>942184</v>
      </c>
    </row>
    <row r="36" spans="1:8" s="3" customFormat="1" ht="12.75" customHeight="1">
      <c r="A36" s="101" t="s">
        <v>17</v>
      </c>
      <c r="B36" s="35">
        <v>65981</v>
      </c>
      <c r="C36" s="35">
        <v>327468</v>
      </c>
      <c r="D36" s="35">
        <v>8967</v>
      </c>
      <c r="E36" s="35">
        <v>73947</v>
      </c>
      <c r="F36" s="35">
        <v>53415</v>
      </c>
      <c r="G36" s="157">
        <v>25194</v>
      </c>
      <c r="H36" s="24">
        <f t="shared" si="4"/>
        <v>554972</v>
      </c>
    </row>
    <row r="37" spans="1:8" s="3" customFormat="1" ht="12.75" customHeight="1">
      <c r="A37" s="101" t="s">
        <v>18</v>
      </c>
      <c r="B37" s="35">
        <v>63499</v>
      </c>
      <c r="C37" s="35">
        <v>422799</v>
      </c>
      <c r="D37" s="35">
        <v>18473</v>
      </c>
      <c r="E37" s="35">
        <v>77378</v>
      </c>
      <c r="F37" s="35">
        <v>70777</v>
      </c>
      <c r="G37" s="157">
        <v>25246</v>
      </c>
      <c r="H37" s="24">
        <f t="shared" si="4"/>
        <v>678172</v>
      </c>
    </row>
    <row r="38" spans="1:8" s="3" customFormat="1" ht="12.75" customHeight="1">
      <c r="A38" s="101" t="s">
        <v>19</v>
      </c>
      <c r="B38" s="35">
        <v>59040</v>
      </c>
      <c r="C38" s="35">
        <v>377010</v>
      </c>
      <c r="D38" s="35">
        <v>1845</v>
      </c>
      <c r="E38" s="35">
        <v>97296</v>
      </c>
      <c r="F38" s="35">
        <v>100112</v>
      </c>
      <c r="G38" s="157">
        <v>23735</v>
      </c>
      <c r="H38" s="24">
        <f t="shared" si="4"/>
        <v>659038</v>
      </c>
    </row>
    <row r="39" spans="1:8" s="3" customFormat="1" ht="12.75" customHeight="1">
      <c r="A39" s="101" t="s">
        <v>20</v>
      </c>
      <c r="B39" s="35">
        <v>40974</v>
      </c>
      <c r="C39" s="35">
        <v>388280</v>
      </c>
      <c r="D39" s="35">
        <v>12630</v>
      </c>
      <c r="E39" s="35">
        <v>81673</v>
      </c>
      <c r="F39" s="35">
        <v>118676</v>
      </c>
      <c r="G39" s="157">
        <v>29522</v>
      </c>
      <c r="H39" s="24">
        <f t="shared" si="4"/>
        <v>671755</v>
      </c>
    </row>
    <row r="40" spans="1:8" s="3" customFormat="1" ht="12.75" customHeight="1">
      <c r="A40" s="101" t="s">
        <v>21</v>
      </c>
      <c r="B40" s="35">
        <v>70576</v>
      </c>
      <c r="C40" s="35">
        <v>372002</v>
      </c>
      <c r="D40" s="35">
        <v>3283</v>
      </c>
      <c r="E40" s="35">
        <v>95618</v>
      </c>
      <c r="F40" s="35">
        <v>93000</v>
      </c>
      <c r="G40" s="157">
        <v>44352</v>
      </c>
      <c r="H40" s="24">
        <f t="shared" si="4"/>
        <v>678831</v>
      </c>
    </row>
    <row r="41" spans="1:8" s="3" customFormat="1" ht="12.75" customHeight="1">
      <c r="A41" s="101" t="s">
        <v>22</v>
      </c>
      <c r="B41" s="35">
        <v>34803</v>
      </c>
      <c r="C41" s="35">
        <v>414953</v>
      </c>
      <c r="D41" s="35">
        <v>5526</v>
      </c>
      <c r="E41" s="35">
        <v>66206</v>
      </c>
      <c r="F41" s="35">
        <v>66041</v>
      </c>
      <c r="G41" s="157">
        <v>35707</v>
      </c>
      <c r="H41" s="24">
        <f t="shared" si="4"/>
        <v>623236</v>
      </c>
    </row>
    <row r="42" spans="1:8" s="3" customFormat="1" ht="12.75" customHeight="1" thickBot="1">
      <c r="A42" s="98" t="s">
        <v>23</v>
      </c>
      <c r="B42" s="36">
        <v>80237</v>
      </c>
      <c r="C42" s="36">
        <v>775042</v>
      </c>
      <c r="D42" s="36">
        <v>114660</v>
      </c>
      <c r="E42" s="36">
        <v>98075</v>
      </c>
      <c r="F42" s="36">
        <v>112940</v>
      </c>
      <c r="G42" s="158">
        <v>54550</v>
      </c>
      <c r="H42" s="159">
        <f t="shared" si="4"/>
        <v>1235504</v>
      </c>
    </row>
    <row r="43" spans="1:8" s="3" customFormat="1" ht="12.75" customHeight="1" thickBot="1">
      <c r="A43" s="30" t="s">
        <v>49</v>
      </c>
      <c r="B43" s="52">
        <f aca="true" t="shared" si="5" ref="B43:H43">SUM(B31:B42)</f>
        <v>597595</v>
      </c>
      <c r="C43" s="52">
        <f t="shared" si="5"/>
        <v>5100039</v>
      </c>
      <c r="D43" s="52">
        <f t="shared" si="5"/>
        <v>202647</v>
      </c>
      <c r="E43" s="52">
        <f t="shared" si="5"/>
        <v>875194</v>
      </c>
      <c r="F43" s="52">
        <f t="shared" si="5"/>
        <v>1014948</v>
      </c>
      <c r="G43" s="52">
        <f t="shared" si="5"/>
        <v>376497</v>
      </c>
      <c r="H43" s="52">
        <f t="shared" si="5"/>
        <v>8166920</v>
      </c>
    </row>
    <row r="44" spans="1:8" s="3" customFormat="1" ht="12.75" customHeight="1">
      <c r="A44" s="97" t="s">
        <v>12</v>
      </c>
      <c r="B44" s="39">
        <v>42082</v>
      </c>
      <c r="C44" s="39">
        <v>201619</v>
      </c>
      <c r="D44" s="39">
        <v>6378</v>
      </c>
      <c r="E44" s="39">
        <v>19319</v>
      </c>
      <c r="F44" s="39">
        <v>30883</v>
      </c>
      <c r="G44" s="155">
        <v>15819</v>
      </c>
      <c r="H44" s="156">
        <f aca="true" t="shared" si="6" ref="H44:H55">SUM(B44:G44)</f>
        <v>316100</v>
      </c>
    </row>
    <row r="45" spans="1:8" s="3" customFormat="1" ht="12.75" customHeight="1">
      <c r="A45" s="101" t="s">
        <v>13</v>
      </c>
      <c r="B45" s="35">
        <v>18686</v>
      </c>
      <c r="C45" s="35">
        <v>321758</v>
      </c>
      <c r="D45" s="35">
        <v>8232</v>
      </c>
      <c r="E45" s="35">
        <v>45087</v>
      </c>
      <c r="F45" s="35">
        <v>80242</v>
      </c>
      <c r="G45" s="157">
        <v>21112</v>
      </c>
      <c r="H45" s="24">
        <f t="shared" si="6"/>
        <v>495117</v>
      </c>
    </row>
    <row r="46" spans="1:8" s="3" customFormat="1" ht="12.75" customHeight="1">
      <c r="A46" s="101" t="s">
        <v>14</v>
      </c>
      <c r="B46" s="35">
        <v>30086</v>
      </c>
      <c r="C46" s="35">
        <v>319478</v>
      </c>
      <c r="D46" s="35">
        <v>16819</v>
      </c>
      <c r="E46" s="35">
        <v>71693</v>
      </c>
      <c r="F46" s="35">
        <v>83182</v>
      </c>
      <c r="G46" s="157">
        <v>27549</v>
      </c>
      <c r="H46" s="24">
        <f t="shared" si="6"/>
        <v>548807</v>
      </c>
    </row>
    <row r="47" spans="1:8" s="3" customFormat="1" ht="12.75" customHeight="1">
      <c r="A47" s="101" t="s">
        <v>15</v>
      </c>
      <c r="B47" s="35">
        <v>38398</v>
      </c>
      <c r="C47" s="35">
        <v>313441</v>
      </c>
      <c r="D47" s="35">
        <v>28758</v>
      </c>
      <c r="E47" s="35">
        <v>70726</v>
      </c>
      <c r="F47" s="35">
        <v>62945</v>
      </c>
      <c r="G47" s="157">
        <v>27881</v>
      </c>
      <c r="H47" s="24">
        <f t="shared" si="6"/>
        <v>542149</v>
      </c>
    </row>
    <row r="48" spans="1:8" s="3" customFormat="1" ht="12.75" customHeight="1">
      <c r="A48" s="101" t="s">
        <v>16</v>
      </c>
      <c r="B48" s="35">
        <v>6945</v>
      </c>
      <c r="C48" s="35">
        <v>311670</v>
      </c>
      <c r="D48" s="35">
        <v>22143</v>
      </c>
      <c r="E48" s="35">
        <v>78495</v>
      </c>
      <c r="F48" s="35">
        <v>77362</v>
      </c>
      <c r="G48" s="157">
        <v>46259</v>
      </c>
      <c r="H48" s="24">
        <f t="shared" si="6"/>
        <v>542874</v>
      </c>
    </row>
    <row r="49" spans="1:8" s="3" customFormat="1" ht="12.75" customHeight="1">
      <c r="A49" s="101" t="s">
        <v>17</v>
      </c>
      <c r="B49" s="35">
        <v>53092</v>
      </c>
      <c r="C49" s="35">
        <v>330472</v>
      </c>
      <c r="D49" s="35">
        <v>14202</v>
      </c>
      <c r="E49" s="35">
        <v>100603</v>
      </c>
      <c r="F49" s="35">
        <v>113270</v>
      </c>
      <c r="G49" s="157">
        <v>31861</v>
      </c>
      <c r="H49" s="24">
        <f t="shared" si="6"/>
        <v>643500</v>
      </c>
    </row>
    <row r="50" spans="1:8" s="3" customFormat="1" ht="12.75" customHeight="1">
      <c r="A50" s="101" t="s">
        <v>18</v>
      </c>
      <c r="B50" s="35">
        <v>54042</v>
      </c>
      <c r="C50" s="35">
        <v>345406</v>
      </c>
      <c r="D50" s="35">
        <v>3484</v>
      </c>
      <c r="E50" s="35">
        <v>99876</v>
      </c>
      <c r="F50" s="35">
        <v>73838</v>
      </c>
      <c r="G50" s="157">
        <v>39955</v>
      </c>
      <c r="H50" s="24">
        <f t="shared" si="6"/>
        <v>616601</v>
      </c>
    </row>
    <row r="51" spans="1:8" s="3" customFormat="1" ht="12.75" customHeight="1">
      <c r="A51" s="101" t="s">
        <v>19</v>
      </c>
      <c r="B51" s="35">
        <v>218113</v>
      </c>
      <c r="C51" s="35">
        <v>294855</v>
      </c>
      <c r="D51" s="35">
        <v>5854</v>
      </c>
      <c r="E51" s="35">
        <v>84921</v>
      </c>
      <c r="F51" s="35">
        <v>86137</v>
      </c>
      <c r="G51" s="157">
        <v>36933</v>
      </c>
      <c r="H51" s="24">
        <f t="shared" si="6"/>
        <v>726813</v>
      </c>
    </row>
    <row r="52" spans="1:8" s="3" customFormat="1" ht="12.75" customHeight="1">
      <c r="A52" s="101" t="s">
        <v>20</v>
      </c>
      <c r="B52" s="35">
        <v>53962</v>
      </c>
      <c r="C52" s="35">
        <v>321628</v>
      </c>
      <c r="D52" s="35">
        <v>6333</v>
      </c>
      <c r="E52" s="35">
        <v>91176</v>
      </c>
      <c r="F52" s="35">
        <v>85364</v>
      </c>
      <c r="G52" s="157">
        <v>60575</v>
      </c>
      <c r="H52" s="24">
        <f t="shared" si="6"/>
        <v>619038</v>
      </c>
    </row>
    <row r="53" spans="1:8" s="3" customFormat="1" ht="12.75" customHeight="1">
      <c r="A53" s="101" t="s">
        <v>21</v>
      </c>
      <c r="B53" s="35">
        <v>11865</v>
      </c>
      <c r="C53" s="35">
        <v>348655</v>
      </c>
      <c r="D53" s="35">
        <v>5819</v>
      </c>
      <c r="E53" s="35">
        <v>62157</v>
      </c>
      <c r="F53" s="35">
        <v>74693</v>
      </c>
      <c r="G53" s="157">
        <v>29716</v>
      </c>
      <c r="H53" s="24">
        <f t="shared" si="6"/>
        <v>532905</v>
      </c>
    </row>
    <row r="54" spans="1:8" s="3" customFormat="1" ht="12.75" customHeight="1">
      <c r="A54" s="101" t="s">
        <v>22</v>
      </c>
      <c r="B54" s="35">
        <v>68422</v>
      </c>
      <c r="C54" s="35">
        <v>214521</v>
      </c>
      <c r="D54" s="35">
        <v>18226</v>
      </c>
      <c r="E54" s="35">
        <v>51546</v>
      </c>
      <c r="F54" s="35">
        <v>100804</v>
      </c>
      <c r="G54" s="157">
        <v>44718</v>
      </c>
      <c r="H54" s="24">
        <f t="shared" si="6"/>
        <v>498237</v>
      </c>
    </row>
    <row r="55" spans="1:8" s="3" customFormat="1" ht="12.75" customHeight="1" thickBot="1">
      <c r="A55" s="98" t="s">
        <v>23</v>
      </c>
      <c r="B55" s="36">
        <v>133571</v>
      </c>
      <c r="C55" s="36">
        <v>480743</v>
      </c>
      <c r="D55" s="36">
        <v>6696</v>
      </c>
      <c r="E55" s="36">
        <v>82028</v>
      </c>
      <c r="F55" s="36">
        <v>82982</v>
      </c>
      <c r="G55" s="158">
        <v>37928</v>
      </c>
      <c r="H55" s="159">
        <f t="shared" si="6"/>
        <v>823948</v>
      </c>
    </row>
    <row r="56" spans="1:8" s="3" customFormat="1" ht="12.75" customHeight="1" thickBot="1">
      <c r="A56" s="30" t="s">
        <v>50</v>
      </c>
      <c r="B56" s="52">
        <f aca="true" t="shared" si="7" ref="B56:H56">SUM(B44:B55)</f>
        <v>729264</v>
      </c>
      <c r="C56" s="52">
        <f t="shared" si="7"/>
        <v>3804246</v>
      </c>
      <c r="D56" s="52">
        <f t="shared" si="7"/>
        <v>142944</v>
      </c>
      <c r="E56" s="52">
        <f t="shared" si="7"/>
        <v>857627</v>
      </c>
      <c r="F56" s="52">
        <f t="shared" si="7"/>
        <v>951702</v>
      </c>
      <c r="G56" s="52">
        <f t="shared" si="7"/>
        <v>420306</v>
      </c>
      <c r="H56" s="52">
        <f t="shared" si="7"/>
        <v>6906089</v>
      </c>
    </row>
    <row r="57" spans="1:6" s="3" customFormat="1" ht="12.75">
      <c r="A57" s="107" t="s">
        <v>93</v>
      </c>
      <c r="F57" s="107" t="s">
        <v>11</v>
      </c>
    </row>
    <row r="58" s="3" customFormat="1" ht="12.75"/>
    <row r="59" s="3" customFormat="1" ht="12.75"/>
    <row r="60" s="3" customFormat="1" ht="12.75"/>
    <row r="61" spans="1:8" s="3" customFormat="1" ht="19.5" customHeight="1">
      <c r="A61" s="176" t="s">
        <v>164</v>
      </c>
      <c r="B61" s="176"/>
      <c r="C61" s="176"/>
      <c r="D61" s="176"/>
      <c r="E61" s="176"/>
      <c r="F61" s="176"/>
      <c r="G61" s="176"/>
      <c r="H61" s="176"/>
    </row>
    <row r="62" spans="1:2" s="3" customFormat="1" ht="9.75" customHeight="1" thickBot="1">
      <c r="A62" s="11"/>
      <c r="B62" s="15"/>
    </row>
    <row r="63" spans="1:8" s="3" customFormat="1" ht="13.5" customHeight="1" thickBot="1">
      <c r="A63" s="11"/>
      <c r="B63" s="265" t="s">
        <v>46</v>
      </c>
      <c r="C63" s="265"/>
      <c r="D63" s="265"/>
      <c r="E63" s="265"/>
      <c r="F63" s="265"/>
      <c r="G63" s="265"/>
      <c r="H63" s="265"/>
    </row>
    <row r="64" spans="1:8" s="3" customFormat="1" ht="21.75" thickBot="1">
      <c r="A64" s="107"/>
      <c r="B64" s="175" t="s">
        <v>25</v>
      </c>
      <c r="C64" s="175" t="s">
        <v>34</v>
      </c>
      <c r="D64" s="175" t="s">
        <v>26</v>
      </c>
      <c r="E64" s="175" t="s">
        <v>28</v>
      </c>
      <c r="F64" s="175" t="s">
        <v>29</v>
      </c>
      <c r="G64" s="175" t="s">
        <v>30</v>
      </c>
      <c r="H64" s="175" t="s">
        <v>0</v>
      </c>
    </row>
    <row r="65" spans="1:8" s="3" customFormat="1" ht="12.75" customHeight="1">
      <c r="A65" s="97" t="s">
        <v>12</v>
      </c>
      <c r="B65" s="39">
        <v>6284</v>
      </c>
      <c r="C65" s="39">
        <v>115633</v>
      </c>
      <c r="D65" s="39">
        <v>2651</v>
      </c>
      <c r="E65" s="39">
        <v>18255</v>
      </c>
      <c r="F65" s="39">
        <v>36333</v>
      </c>
      <c r="G65" s="155">
        <v>15521</v>
      </c>
      <c r="H65" s="156">
        <f aca="true" t="shared" si="8" ref="H65:H76">SUM(B65:G65)</f>
        <v>194677</v>
      </c>
    </row>
    <row r="66" spans="1:8" s="3" customFormat="1" ht="12.75" customHeight="1">
      <c r="A66" s="101" t="s">
        <v>13</v>
      </c>
      <c r="B66" s="35">
        <v>14299</v>
      </c>
      <c r="C66" s="35">
        <v>168246</v>
      </c>
      <c r="D66" s="35">
        <v>22247</v>
      </c>
      <c r="E66" s="35">
        <v>54861</v>
      </c>
      <c r="F66" s="35">
        <v>49638</v>
      </c>
      <c r="G66" s="157">
        <v>28203</v>
      </c>
      <c r="H66" s="24">
        <f t="shared" si="8"/>
        <v>337494</v>
      </c>
    </row>
    <row r="67" spans="1:8" s="3" customFormat="1" ht="12.75" customHeight="1">
      <c r="A67" s="101" t="s">
        <v>14</v>
      </c>
      <c r="B67" s="35">
        <v>55736</v>
      </c>
      <c r="C67" s="35">
        <v>299798</v>
      </c>
      <c r="D67" s="35">
        <v>8493</v>
      </c>
      <c r="E67" s="35">
        <v>72512</v>
      </c>
      <c r="F67" s="35">
        <v>59613</v>
      </c>
      <c r="G67" s="157">
        <v>23286</v>
      </c>
      <c r="H67" s="24">
        <f t="shared" si="8"/>
        <v>519438</v>
      </c>
    </row>
    <row r="68" spans="1:8" s="3" customFormat="1" ht="12.75" customHeight="1">
      <c r="A68" s="101" t="s">
        <v>15</v>
      </c>
      <c r="B68" s="35">
        <v>18161</v>
      </c>
      <c r="C68" s="35">
        <v>242049</v>
      </c>
      <c r="D68" s="35">
        <v>3105</v>
      </c>
      <c r="E68" s="35">
        <v>36974</v>
      </c>
      <c r="F68" s="35">
        <v>39885</v>
      </c>
      <c r="G68" s="157">
        <v>23135</v>
      </c>
      <c r="H68" s="24">
        <f t="shared" si="8"/>
        <v>363309</v>
      </c>
    </row>
    <row r="69" spans="1:8" s="3" customFormat="1" ht="12.75" customHeight="1">
      <c r="A69" s="101" t="s">
        <v>16</v>
      </c>
      <c r="B69" s="35">
        <v>22291</v>
      </c>
      <c r="C69" s="35">
        <v>276476</v>
      </c>
      <c r="D69" s="35">
        <v>10121</v>
      </c>
      <c r="E69" s="35">
        <v>65532</v>
      </c>
      <c r="F69" s="35">
        <v>40327</v>
      </c>
      <c r="G69" s="157">
        <v>34508</v>
      </c>
      <c r="H69" s="24">
        <f t="shared" si="8"/>
        <v>449255</v>
      </c>
    </row>
    <row r="70" spans="1:8" s="3" customFormat="1" ht="12.75" customHeight="1">
      <c r="A70" s="101" t="s">
        <v>17</v>
      </c>
      <c r="B70" s="35">
        <v>41974</v>
      </c>
      <c r="C70" s="35">
        <v>290177</v>
      </c>
      <c r="D70" s="35">
        <v>34649</v>
      </c>
      <c r="E70" s="35">
        <v>89296</v>
      </c>
      <c r="F70" s="35">
        <v>65118</v>
      </c>
      <c r="G70" s="157">
        <v>35212</v>
      </c>
      <c r="H70" s="24">
        <f t="shared" si="8"/>
        <v>556426</v>
      </c>
    </row>
    <row r="71" spans="1:8" s="3" customFormat="1" ht="12.75" customHeight="1">
      <c r="A71" s="101" t="s">
        <v>18</v>
      </c>
      <c r="B71" s="35">
        <v>22927</v>
      </c>
      <c r="C71" s="35">
        <v>327421</v>
      </c>
      <c r="D71" s="35">
        <v>7424</v>
      </c>
      <c r="E71" s="35">
        <v>81384</v>
      </c>
      <c r="F71" s="35">
        <v>92153</v>
      </c>
      <c r="G71" s="157">
        <v>28912</v>
      </c>
      <c r="H71" s="24">
        <f t="shared" si="8"/>
        <v>560221</v>
      </c>
    </row>
    <row r="72" spans="1:8" s="3" customFormat="1" ht="12.75" customHeight="1">
      <c r="A72" s="101" t="s">
        <v>19</v>
      </c>
      <c r="B72" s="35">
        <v>23544</v>
      </c>
      <c r="C72" s="35">
        <v>270355</v>
      </c>
      <c r="D72" s="35">
        <v>16708</v>
      </c>
      <c r="E72" s="35">
        <v>60807</v>
      </c>
      <c r="F72" s="35">
        <v>117381</v>
      </c>
      <c r="G72" s="157">
        <v>56396</v>
      </c>
      <c r="H72" s="24">
        <f t="shared" si="8"/>
        <v>545191</v>
      </c>
    </row>
    <row r="73" spans="1:8" s="3" customFormat="1" ht="12.75" customHeight="1">
      <c r="A73" s="101" t="s">
        <v>20</v>
      </c>
      <c r="B73" s="35">
        <v>40691</v>
      </c>
      <c r="C73" s="35">
        <v>249145</v>
      </c>
      <c r="D73" s="35">
        <v>22602</v>
      </c>
      <c r="E73" s="35">
        <v>56152</v>
      </c>
      <c r="F73" s="35">
        <v>111637</v>
      </c>
      <c r="G73" s="157">
        <v>44141</v>
      </c>
      <c r="H73" s="24">
        <f t="shared" si="8"/>
        <v>524368</v>
      </c>
    </row>
    <row r="74" spans="1:8" s="3" customFormat="1" ht="12.75" customHeight="1">
      <c r="A74" s="101" t="s">
        <v>21</v>
      </c>
      <c r="B74" s="35">
        <v>58446</v>
      </c>
      <c r="C74" s="35">
        <v>246597</v>
      </c>
      <c r="D74" s="35">
        <v>3264</v>
      </c>
      <c r="E74" s="35">
        <v>72340</v>
      </c>
      <c r="F74" s="35">
        <v>106744</v>
      </c>
      <c r="G74" s="157">
        <v>42297</v>
      </c>
      <c r="H74" s="24">
        <f t="shared" si="8"/>
        <v>529688</v>
      </c>
    </row>
    <row r="75" spans="1:8" s="3" customFormat="1" ht="12.75" customHeight="1">
      <c r="A75" s="101" t="s">
        <v>22</v>
      </c>
      <c r="B75" s="35">
        <v>74752</v>
      </c>
      <c r="C75" s="35">
        <v>173756</v>
      </c>
      <c r="D75" s="35">
        <v>2214</v>
      </c>
      <c r="E75" s="35">
        <v>42079</v>
      </c>
      <c r="F75" s="35">
        <v>69039</v>
      </c>
      <c r="G75" s="157">
        <v>34894</v>
      </c>
      <c r="H75" s="24">
        <f t="shared" si="8"/>
        <v>396734</v>
      </c>
    </row>
    <row r="76" spans="1:8" s="3" customFormat="1" ht="12.75" customHeight="1" thickBot="1">
      <c r="A76" s="98" t="s">
        <v>23</v>
      </c>
      <c r="B76" s="36">
        <v>46610</v>
      </c>
      <c r="C76" s="36">
        <v>335962</v>
      </c>
      <c r="D76" s="36">
        <v>4980</v>
      </c>
      <c r="E76" s="36">
        <v>43924</v>
      </c>
      <c r="F76" s="36">
        <v>60485</v>
      </c>
      <c r="G76" s="158">
        <v>20240</v>
      </c>
      <c r="H76" s="159">
        <f t="shared" si="8"/>
        <v>512201</v>
      </c>
    </row>
    <row r="77" spans="1:8" s="3" customFormat="1" ht="12.75" customHeight="1" thickBot="1">
      <c r="A77" s="30" t="s">
        <v>51</v>
      </c>
      <c r="B77" s="52">
        <f aca="true" t="shared" si="9" ref="B77:H77">SUM(B65:B76)</f>
        <v>425715</v>
      </c>
      <c r="C77" s="52">
        <f t="shared" si="9"/>
        <v>2995615</v>
      </c>
      <c r="D77" s="52">
        <f t="shared" si="9"/>
        <v>138458</v>
      </c>
      <c r="E77" s="52">
        <f t="shared" si="9"/>
        <v>694116</v>
      </c>
      <c r="F77" s="52">
        <f t="shared" si="9"/>
        <v>848353</v>
      </c>
      <c r="G77" s="52">
        <f t="shared" si="9"/>
        <v>386745</v>
      </c>
      <c r="H77" s="52">
        <f t="shared" si="9"/>
        <v>5489002</v>
      </c>
    </row>
    <row r="78" spans="1:8" s="3" customFormat="1" ht="12.75" customHeight="1">
      <c r="A78" s="97" t="s">
        <v>12</v>
      </c>
      <c r="B78" s="39">
        <v>16405</v>
      </c>
      <c r="C78" s="39">
        <v>166857</v>
      </c>
      <c r="D78" s="39">
        <v>94136</v>
      </c>
      <c r="E78" s="39">
        <v>24348</v>
      </c>
      <c r="F78" s="39">
        <v>55193</v>
      </c>
      <c r="G78" s="155">
        <v>23807</v>
      </c>
      <c r="H78" s="156">
        <f aca="true" t="shared" si="10" ref="H78:H89">SUM(B78:G78)</f>
        <v>380746</v>
      </c>
    </row>
    <row r="79" spans="1:8" s="3" customFormat="1" ht="12.75" customHeight="1">
      <c r="A79" s="101" t="s">
        <v>13</v>
      </c>
      <c r="B79" s="35">
        <v>38808</v>
      </c>
      <c r="C79" s="35">
        <v>192169</v>
      </c>
      <c r="D79" s="35">
        <v>2012</v>
      </c>
      <c r="E79" s="35">
        <v>36579</v>
      </c>
      <c r="F79" s="35">
        <v>69686</v>
      </c>
      <c r="G79" s="157">
        <v>37650</v>
      </c>
      <c r="H79" s="24">
        <f t="shared" si="10"/>
        <v>376904</v>
      </c>
    </row>
    <row r="80" spans="1:8" s="3" customFormat="1" ht="12.75" customHeight="1">
      <c r="A80" s="101" t="s">
        <v>14</v>
      </c>
      <c r="B80" s="35">
        <v>18124</v>
      </c>
      <c r="C80" s="35">
        <v>142514</v>
      </c>
      <c r="D80" s="35">
        <v>3647</v>
      </c>
      <c r="E80" s="35">
        <v>34619</v>
      </c>
      <c r="F80" s="35">
        <v>75060</v>
      </c>
      <c r="G80" s="157">
        <v>33326</v>
      </c>
      <c r="H80" s="24">
        <f t="shared" si="10"/>
        <v>307290</v>
      </c>
    </row>
    <row r="81" spans="1:8" s="3" customFormat="1" ht="12.75" customHeight="1">
      <c r="A81" s="101" t="s">
        <v>15</v>
      </c>
      <c r="B81" s="35">
        <v>52517</v>
      </c>
      <c r="C81" s="35">
        <v>443712</v>
      </c>
      <c r="D81" s="35">
        <v>6024</v>
      </c>
      <c r="E81" s="35">
        <v>37028</v>
      </c>
      <c r="F81" s="35">
        <v>93248</v>
      </c>
      <c r="G81" s="157">
        <v>41726</v>
      </c>
      <c r="H81" s="24">
        <f t="shared" si="10"/>
        <v>674255</v>
      </c>
    </row>
    <row r="82" spans="1:8" s="3" customFormat="1" ht="12.75" customHeight="1">
      <c r="A82" s="101" t="s">
        <v>16</v>
      </c>
      <c r="B82" s="35">
        <v>73390</v>
      </c>
      <c r="C82" s="35">
        <v>256056</v>
      </c>
      <c r="D82" s="35">
        <v>1876</v>
      </c>
      <c r="E82" s="35">
        <v>66491</v>
      </c>
      <c r="F82" s="35">
        <v>100632</v>
      </c>
      <c r="G82" s="157">
        <v>50944</v>
      </c>
      <c r="H82" s="24">
        <f t="shared" si="10"/>
        <v>549389</v>
      </c>
    </row>
    <row r="83" spans="1:8" s="3" customFormat="1" ht="12.75" customHeight="1">
      <c r="A83" s="101" t="s">
        <v>17</v>
      </c>
      <c r="B83" s="35">
        <v>17769</v>
      </c>
      <c r="C83" s="35">
        <v>240980</v>
      </c>
      <c r="D83" s="35">
        <v>14042</v>
      </c>
      <c r="E83" s="35">
        <v>51543</v>
      </c>
      <c r="F83" s="35">
        <v>62089</v>
      </c>
      <c r="G83" s="157">
        <v>47069</v>
      </c>
      <c r="H83" s="24">
        <f t="shared" si="10"/>
        <v>433492</v>
      </c>
    </row>
    <row r="84" spans="1:8" s="3" customFormat="1" ht="12.75" customHeight="1">
      <c r="A84" s="101" t="s">
        <v>18</v>
      </c>
      <c r="B84" s="35">
        <v>55391</v>
      </c>
      <c r="C84" s="35">
        <v>216456</v>
      </c>
      <c r="D84" s="35">
        <v>7546</v>
      </c>
      <c r="E84" s="35">
        <v>59563</v>
      </c>
      <c r="F84" s="35">
        <v>72654</v>
      </c>
      <c r="G84" s="157">
        <v>39243</v>
      </c>
      <c r="H84" s="24">
        <f t="shared" si="10"/>
        <v>450853</v>
      </c>
    </row>
    <row r="85" spans="1:8" s="3" customFormat="1" ht="12.75" customHeight="1">
      <c r="A85" s="101" t="s">
        <v>19</v>
      </c>
      <c r="B85" s="35">
        <v>98211</v>
      </c>
      <c r="C85" s="35">
        <v>249633</v>
      </c>
      <c r="D85" s="35">
        <v>3509</v>
      </c>
      <c r="E85" s="35">
        <v>42606</v>
      </c>
      <c r="F85" s="35">
        <v>83334</v>
      </c>
      <c r="G85" s="157">
        <v>53579</v>
      </c>
      <c r="H85" s="24">
        <f t="shared" si="10"/>
        <v>530872</v>
      </c>
    </row>
    <row r="86" spans="1:8" s="3" customFormat="1" ht="12.75" customHeight="1">
      <c r="A86" s="101" t="s">
        <v>20</v>
      </c>
      <c r="B86" s="35">
        <v>25202</v>
      </c>
      <c r="C86" s="35">
        <v>245286</v>
      </c>
      <c r="D86" s="35">
        <v>11610</v>
      </c>
      <c r="E86" s="35">
        <v>26425</v>
      </c>
      <c r="F86" s="35">
        <v>77835</v>
      </c>
      <c r="G86" s="157">
        <v>38090</v>
      </c>
      <c r="H86" s="24">
        <f t="shared" si="10"/>
        <v>424448</v>
      </c>
    </row>
    <row r="87" spans="1:8" s="3" customFormat="1" ht="12.75" customHeight="1">
      <c r="A87" s="101" t="s">
        <v>21</v>
      </c>
      <c r="B87" s="35">
        <v>13293</v>
      </c>
      <c r="C87" s="35">
        <v>221880</v>
      </c>
      <c r="D87" s="35">
        <v>4228</v>
      </c>
      <c r="E87" s="35">
        <v>58009</v>
      </c>
      <c r="F87" s="35">
        <v>87726</v>
      </c>
      <c r="G87" s="157">
        <v>73817</v>
      </c>
      <c r="H87" s="24">
        <f t="shared" si="10"/>
        <v>458953</v>
      </c>
    </row>
    <row r="88" spans="1:8" s="3" customFormat="1" ht="12.75" customHeight="1">
      <c r="A88" s="101" t="s">
        <v>22</v>
      </c>
      <c r="B88" s="35">
        <v>14320</v>
      </c>
      <c r="C88" s="35">
        <v>169096</v>
      </c>
      <c r="D88" s="35">
        <v>8145</v>
      </c>
      <c r="E88" s="35">
        <v>42633</v>
      </c>
      <c r="F88" s="35">
        <v>58487</v>
      </c>
      <c r="G88" s="157">
        <v>35694</v>
      </c>
      <c r="H88" s="24">
        <f t="shared" si="10"/>
        <v>328375</v>
      </c>
    </row>
    <row r="89" spans="1:8" s="3" customFormat="1" ht="12.75" customHeight="1" thickBot="1">
      <c r="A89" s="98" t="s">
        <v>23</v>
      </c>
      <c r="B89" s="36">
        <v>27296</v>
      </c>
      <c r="C89" s="36">
        <v>530681</v>
      </c>
      <c r="D89" s="36">
        <v>23349</v>
      </c>
      <c r="E89" s="36">
        <v>75321</v>
      </c>
      <c r="F89" s="36">
        <v>95740</v>
      </c>
      <c r="G89" s="158">
        <v>54889</v>
      </c>
      <c r="H89" s="159">
        <f t="shared" si="10"/>
        <v>807276</v>
      </c>
    </row>
    <row r="90" spans="1:8" s="3" customFormat="1" ht="12.75" customHeight="1" thickBot="1">
      <c r="A90" s="30" t="s">
        <v>52</v>
      </c>
      <c r="B90" s="52">
        <f aca="true" t="shared" si="11" ref="B90:H90">SUM(B78:B89)</f>
        <v>450726</v>
      </c>
      <c r="C90" s="52">
        <f t="shared" si="11"/>
        <v>3075320</v>
      </c>
      <c r="D90" s="52">
        <f t="shared" si="11"/>
        <v>180124</v>
      </c>
      <c r="E90" s="52">
        <f t="shared" si="11"/>
        <v>555165</v>
      </c>
      <c r="F90" s="52">
        <f t="shared" si="11"/>
        <v>931684</v>
      </c>
      <c r="G90" s="52">
        <f t="shared" si="11"/>
        <v>529834</v>
      </c>
      <c r="H90" s="52">
        <f t="shared" si="11"/>
        <v>5722853</v>
      </c>
    </row>
    <row r="91" spans="1:8" s="3" customFormat="1" ht="12.75" customHeight="1">
      <c r="A91" s="97" t="s">
        <v>12</v>
      </c>
      <c r="B91" s="39">
        <v>35254</v>
      </c>
      <c r="C91" s="39">
        <v>134881</v>
      </c>
      <c r="D91" s="39">
        <v>2878</v>
      </c>
      <c r="E91" s="39">
        <v>25878</v>
      </c>
      <c r="F91" s="39">
        <v>61023</v>
      </c>
      <c r="G91" s="155">
        <v>26275</v>
      </c>
      <c r="H91" s="156">
        <f aca="true" t="shared" si="12" ref="H91:H102">SUM(B91:G91)</f>
        <v>286189</v>
      </c>
    </row>
    <row r="92" spans="1:8" s="3" customFormat="1" ht="12.75" customHeight="1">
      <c r="A92" s="101" t="s">
        <v>13</v>
      </c>
      <c r="B92" s="35">
        <v>19844</v>
      </c>
      <c r="C92" s="35">
        <v>209054</v>
      </c>
      <c r="D92" s="35">
        <v>4939</v>
      </c>
      <c r="E92" s="35">
        <v>24753</v>
      </c>
      <c r="F92" s="35">
        <v>64086</v>
      </c>
      <c r="G92" s="157">
        <v>41485</v>
      </c>
      <c r="H92" s="24">
        <f t="shared" si="12"/>
        <v>364161</v>
      </c>
    </row>
    <row r="93" spans="1:8" s="3" customFormat="1" ht="12.75" customHeight="1">
      <c r="A93" s="101" t="s">
        <v>14</v>
      </c>
      <c r="B93" s="35">
        <v>162554</v>
      </c>
      <c r="C93" s="35">
        <v>266218</v>
      </c>
      <c r="D93" s="35">
        <v>7890</v>
      </c>
      <c r="E93" s="35">
        <v>40270</v>
      </c>
      <c r="F93" s="35">
        <v>60322</v>
      </c>
      <c r="G93" s="157">
        <v>34710</v>
      </c>
      <c r="H93" s="24">
        <f t="shared" si="12"/>
        <v>571964</v>
      </c>
    </row>
    <row r="94" spans="1:8" s="3" customFormat="1" ht="12.75" customHeight="1">
      <c r="A94" s="101" t="s">
        <v>15</v>
      </c>
      <c r="B94" s="35">
        <v>37486</v>
      </c>
      <c r="C94" s="35">
        <v>299180</v>
      </c>
      <c r="D94" s="35">
        <v>3985</v>
      </c>
      <c r="E94" s="35">
        <v>63398</v>
      </c>
      <c r="F94" s="35">
        <v>88536</v>
      </c>
      <c r="G94" s="157">
        <v>34007</v>
      </c>
      <c r="H94" s="24">
        <f t="shared" si="12"/>
        <v>526592</v>
      </c>
    </row>
    <row r="95" spans="1:8" s="3" customFormat="1" ht="12.75" customHeight="1">
      <c r="A95" s="101" t="s">
        <v>16</v>
      </c>
      <c r="B95" s="35">
        <v>60055</v>
      </c>
      <c r="C95" s="35">
        <v>304001</v>
      </c>
      <c r="D95" s="35">
        <v>19671</v>
      </c>
      <c r="E95" s="35">
        <v>50907</v>
      </c>
      <c r="F95" s="35">
        <v>76907</v>
      </c>
      <c r="G95" s="157">
        <v>71975</v>
      </c>
      <c r="H95" s="24">
        <f t="shared" si="12"/>
        <v>583516</v>
      </c>
    </row>
    <row r="96" spans="1:8" s="3" customFormat="1" ht="12.75" customHeight="1">
      <c r="A96" s="101" t="s">
        <v>17</v>
      </c>
      <c r="B96" s="35">
        <v>24583</v>
      </c>
      <c r="C96" s="35">
        <v>384868</v>
      </c>
      <c r="D96" s="35">
        <v>7580</v>
      </c>
      <c r="E96" s="35">
        <v>92015</v>
      </c>
      <c r="F96" s="35">
        <v>90829</v>
      </c>
      <c r="G96" s="157">
        <v>52561</v>
      </c>
      <c r="H96" s="24">
        <f t="shared" si="12"/>
        <v>652436</v>
      </c>
    </row>
    <row r="97" spans="1:8" s="3" customFormat="1" ht="12.75" customHeight="1">
      <c r="A97" s="101" t="s">
        <v>18</v>
      </c>
      <c r="B97" s="35">
        <v>27281</v>
      </c>
      <c r="C97" s="35">
        <v>342345</v>
      </c>
      <c r="D97" s="35">
        <v>3541</v>
      </c>
      <c r="E97" s="35">
        <v>71246</v>
      </c>
      <c r="F97" s="35">
        <v>85738</v>
      </c>
      <c r="G97" s="157">
        <v>57264</v>
      </c>
      <c r="H97" s="24">
        <f t="shared" si="12"/>
        <v>587415</v>
      </c>
    </row>
    <row r="98" spans="1:8" s="3" customFormat="1" ht="12.75" customHeight="1">
      <c r="A98" s="101" t="s">
        <v>19</v>
      </c>
      <c r="B98" s="35">
        <v>71120</v>
      </c>
      <c r="C98" s="35">
        <v>328921</v>
      </c>
      <c r="D98" s="35">
        <v>1062</v>
      </c>
      <c r="E98" s="35">
        <v>69915</v>
      </c>
      <c r="F98" s="35">
        <v>89234</v>
      </c>
      <c r="G98" s="157">
        <v>65471</v>
      </c>
      <c r="H98" s="24">
        <f t="shared" si="12"/>
        <v>625723</v>
      </c>
    </row>
    <row r="99" spans="1:8" s="3" customFormat="1" ht="12.75" customHeight="1">
      <c r="A99" s="101" t="s">
        <v>20</v>
      </c>
      <c r="B99" s="35">
        <v>38517</v>
      </c>
      <c r="C99" s="35">
        <v>321766</v>
      </c>
      <c r="D99" s="35">
        <v>13865</v>
      </c>
      <c r="E99" s="35">
        <v>53522</v>
      </c>
      <c r="F99" s="35">
        <v>124093</v>
      </c>
      <c r="G99" s="157">
        <v>55546</v>
      </c>
      <c r="H99" s="24">
        <f t="shared" si="12"/>
        <v>607309</v>
      </c>
    </row>
    <row r="100" spans="1:8" s="3" customFormat="1" ht="12.75" customHeight="1">
      <c r="A100" s="101" t="s">
        <v>21</v>
      </c>
      <c r="B100" s="35">
        <v>84685</v>
      </c>
      <c r="C100" s="35">
        <v>295090</v>
      </c>
      <c r="D100" s="35">
        <v>49372</v>
      </c>
      <c r="E100" s="35">
        <v>45334</v>
      </c>
      <c r="F100" s="35">
        <v>87940</v>
      </c>
      <c r="G100" s="157">
        <v>55361</v>
      </c>
      <c r="H100" s="24">
        <f t="shared" si="12"/>
        <v>617782</v>
      </c>
    </row>
    <row r="101" spans="1:8" s="3" customFormat="1" ht="12.75" customHeight="1">
      <c r="A101" s="101" t="s">
        <v>22</v>
      </c>
      <c r="B101" s="35">
        <v>102762</v>
      </c>
      <c r="C101" s="35">
        <v>217476</v>
      </c>
      <c r="D101" s="35">
        <v>2828</v>
      </c>
      <c r="E101" s="35">
        <v>24629</v>
      </c>
      <c r="F101" s="35">
        <v>66660</v>
      </c>
      <c r="G101" s="157">
        <v>25582</v>
      </c>
      <c r="H101" s="24">
        <f t="shared" si="12"/>
        <v>439937</v>
      </c>
    </row>
    <row r="102" spans="1:8" s="3" customFormat="1" ht="12.75" customHeight="1" thickBot="1">
      <c r="A102" s="98" t="s">
        <v>23</v>
      </c>
      <c r="B102" s="36">
        <v>95715</v>
      </c>
      <c r="C102" s="36">
        <v>434575</v>
      </c>
      <c r="D102" s="36">
        <v>26302</v>
      </c>
      <c r="E102" s="36">
        <v>35337</v>
      </c>
      <c r="F102" s="36">
        <v>60236</v>
      </c>
      <c r="G102" s="158">
        <v>51194</v>
      </c>
      <c r="H102" s="159">
        <f t="shared" si="12"/>
        <v>703359</v>
      </c>
    </row>
    <row r="103" spans="1:8" s="3" customFormat="1" ht="12.75" customHeight="1" thickBot="1">
      <c r="A103" s="30" t="s">
        <v>53</v>
      </c>
      <c r="B103" s="52">
        <f aca="true" t="shared" si="13" ref="B103:H103">SUM(B91:B102)</f>
        <v>759856</v>
      </c>
      <c r="C103" s="52">
        <f t="shared" si="13"/>
        <v>3538375</v>
      </c>
      <c r="D103" s="52">
        <f t="shared" si="13"/>
        <v>143913</v>
      </c>
      <c r="E103" s="52">
        <f t="shared" si="13"/>
        <v>597204</v>
      </c>
      <c r="F103" s="52">
        <f t="shared" si="13"/>
        <v>955604</v>
      </c>
      <c r="G103" s="52">
        <f t="shared" si="13"/>
        <v>571431</v>
      </c>
      <c r="H103" s="52">
        <f t="shared" si="13"/>
        <v>6566383</v>
      </c>
    </row>
    <row r="104" spans="1:8" s="3" customFormat="1" ht="12.75" customHeight="1">
      <c r="A104" s="97" t="s">
        <v>12</v>
      </c>
      <c r="B104" s="39">
        <v>17690</v>
      </c>
      <c r="C104" s="39">
        <v>182016</v>
      </c>
      <c r="D104" s="39">
        <v>913</v>
      </c>
      <c r="E104" s="39">
        <v>45088</v>
      </c>
      <c r="F104" s="39">
        <v>47842</v>
      </c>
      <c r="G104" s="155">
        <v>14627</v>
      </c>
      <c r="H104" s="156">
        <f aca="true" t="shared" si="14" ref="H104:H115">SUM(B104:G104)</f>
        <v>308176</v>
      </c>
    </row>
    <row r="105" spans="1:8" s="3" customFormat="1" ht="12.75" customHeight="1">
      <c r="A105" s="101" t="s">
        <v>13</v>
      </c>
      <c r="B105" s="35">
        <v>100086</v>
      </c>
      <c r="C105" s="35">
        <v>278660</v>
      </c>
      <c r="D105" s="35">
        <v>8065</v>
      </c>
      <c r="E105" s="35">
        <v>17195</v>
      </c>
      <c r="F105" s="35">
        <v>24340</v>
      </c>
      <c r="G105" s="35">
        <v>18866</v>
      </c>
      <c r="H105" s="24">
        <f t="shared" si="14"/>
        <v>447212</v>
      </c>
    </row>
    <row r="106" spans="1:8" s="3" customFormat="1" ht="12.75" customHeight="1">
      <c r="A106" s="101" t="s">
        <v>14</v>
      </c>
      <c r="B106" s="35">
        <v>22455</v>
      </c>
      <c r="C106" s="35">
        <v>236508</v>
      </c>
      <c r="D106" s="35">
        <v>11056</v>
      </c>
      <c r="E106" s="35">
        <v>39363</v>
      </c>
      <c r="F106" s="35">
        <v>57696</v>
      </c>
      <c r="G106" s="157">
        <v>22742</v>
      </c>
      <c r="H106" s="24">
        <f t="shared" si="14"/>
        <v>389820</v>
      </c>
    </row>
    <row r="107" spans="1:8" s="3" customFormat="1" ht="12.75" customHeight="1">
      <c r="A107" s="101" t="s">
        <v>15</v>
      </c>
      <c r="B107" s="35">
        <v>39653</v>
      </c>
      <c r="C107" s="35">
        <v>359357</v>
      </c>
      <c r="D107" s="35">
        <v>21950</v>
      </c>
      <c r="E107" s="35">
        <v>47504</v>
      </c>
      <c r="F107" s="35">
        <v>64098</v>
      </c>
      <c r="G107" s="157">
        <v>27327</v>
      </c>
      <c r="H107" s="24">
        <f t="shared" si="14"/>
        <v>559889</v>
      </c>
    </row>
    <row r="108" spans="1:8" s="3" customFormat="1" ht="12.75" customHeight="1">
      <c r="A108" s="101" t="s">
        <v>16</v>
      </c>
      <c r="B108" s="35">
        <v>78832</v>
      </c>
      <c r="C108" s="35">
        <v>433584</v>
      </c>
      <c r="D108" s="35">
        <v>16102</v>
      </c>
      <c r="E108" s="35">
        <v>68325</v>
      </c>
      <c r="F108" s="35">
        <v>116429</v>
      </c>
      <c r="G108" s="157">
        <v>48582</v>
      </c>
      <c r="H108" s="24">
        <f t="shared" si="14"/>
        <v>761854</v>
      </c>
    </row>
    <row r="109" spans="1:8" s="3" customFormat="1" ht="12.75" customHeight="1">
      <c r="A109" s="101" t="s">
        <v>17</v>
      </c>
      <c r="B109" s="35">
        <v>80487</v>
      </c>
      <c r="C109" s="35">
        <v>410013</v>
      </c>
      <c r="D109" s="35">
        <v>50961</v>
      </c>
      <c r="E109" s="35">
        <v>73616</v>
      </c>
      <c r="F109" s="35">
        <v>97131</v>
      </c>
      <c r="G109" s="157">
        <v>50073</v>
      </c>
      <c r="H109" s="24">
        <f t="shared" si="14"/>
        <v>762281</v>
      </c>
    </row>
    <row r="110" spans="1:8" s="3" customFormat="1" ht="12.75" customHeight="1">
      <c r="A110" s="101" t="s">
        <v>18</v>
      </c>
      <c r="B110" s="35">
        <v>61339</v>
      </c>
      <c r="C110" s="35">
        <v>477308</v>
      </c>
      <c r="D110" s="35">
        <v>23401</v>
      </c>
      <c r="E110" s="35">
        <v>84400</v>
      </c>
      <c r="F110" s="35">
        <v>78451</v>
      </c>
      <c r="G110" s="157">
        <v>43782</v>
      </c>
      <c r="H110" s="24">
        <f t="shared" si="14"/>
        <v>768681</v>
      </c>
    </row>
    <row r="111" spans="1:8" s="3" customFormat="1" ht="12.75" customHeight="1">
      <c r="A111" s="101" t="s">
        <v>19</v>
      </c>
      <c r="B111" s="35">
        <v>45356</v>
      </c>
      <c r="C111" s="35">
        <v>330037</v>
      </c>
      <c r="D111" s="35">
        <v>22520</v>
      </c>
      <c r="E111" s="35">
        <v>47864</v>
      </c>
      <c r="F111" s="35">
        <v>95392</v>
      </c>
      <c r="G111" s="157">
        <v>45729</v>
      </c>
      <c r="H111" s="24">
        <f t="shared" si="14"/>
        <v>586898</v>
      </c>
    </row>
    <row r="112" spans="1:8" s="3" customFormat="1" ht="12.75" customHeight="1">
      <c r="A112" s="101" t="s">
        <v>20</v>
      </c>
      <c r="B112" s="35">
        <v>58385</v>
      </c>
      <c r="C112" s="35">
        <v>371607</v>
      </c>
      <c r="D112" s="35">
        <v>6214</v>
      </c>
      <c r="E112" s="35">
        <v>72039</v>
      </c>
      <c r="F112" s="35">
        <v>73327</v>
      </c>
      <c r="G112" s="157">
        <v>56011</v>
      </c>
      <c r="H112" s="24">
        <f t="shared" si="14"/>
        <v>637583</v>
      </c>
    </row>
    <row r="113" spans="1:8" s="3" customFormat="1" ht="12.75" customHeight="1">
      <c r="A113" s="101" t="s">
        <v>21</v>
      </c>
      <c r="B113" s="35">
        <v>101019</v>
      </c>
      <c r="C113" s="35">
        <v>393290</v>
      </c>
      <c r="D113" s="35">
        <v>47413</v>
      </c>
      <c r="E113" s="35">
        <v>57411</v>
      </c>
      <c r="F113" s="35">
        <v>82285</v>
      </c>
      <c r="G113" s="157">
        <v>57655</v>
      </c>
      <c r="H113" s="24">
        <f t="shared" si="14"/>
        <v>739073</v>
      </c>
    </row>
    <row r="114" spans="1:8" s="3" customFormat="1" ht="12.75" customHeight="1">
      <c r="A114" s="101" t="s">
        <v>22</v>
      </c>
      <c r="B114" s="35">
        <v>18593</v>
      </c>
      <c r="C114" s="35">
        <v>214729</v>
      </c>
      <c r="D114" s="35">
        <v>6065</v>
      </c>
      <c r="E114" s="35">
        <v>25279</v>
      </c>
      <c r="F114" s="35">
        <v>55521</v>
      </c>
      <c r="G114" s="157">
        <v>21187</v>
      </c>
      <c r="H114" s="24">
        <f t="shared" si="14"/>
        <v>341374</v>
      </c>
    </row>
    <row r="115" spans="1:8" s="3" customFormat="1" ht="12.75" customHeight="1" thickBot="1">
      <c r="A115" s="98" t="s">
        <v>23</v>
      </c>
      <c r="B115" s="36">
        <v>152178</v>
      </c>
      <c r="C115" s="36">
        <v>557303</v>
      </c>
      <c r="D115" s="36">
        <v>12703</v>
      </c>
      <c r="E115" s="36">
        <v>55378</v>
      </c>
      <c r="F115" s="36">
        <v>71173</v>
      </c>
      <c r="G115" s="158">
        <v>44126</v>
      </c>
      <c r="H115" s="159">
        <f t="shared" si="14"/>
        <v>892861</v>
      </c>
    </row>
    <row r="116" spans="1:8" s="3" customFormat="1" ht="12.75" customHeight="1" thickBot="1">
      <c r="A116" s="30" t="s">
        <v>54</v>
      </c>
      <c r="B116" s="52">
        <f aca="true" t="shared" si="15" ref="B116:H116">SUM(B104:B115)</f>
        <v>776073</v>
      </c>
      <c r="C116" s="52">
        <f t="shared" si="15"/>
        <v>4244412</v>
      </c>
      <c r="D116" s="52">
        <f t="shared" si="15"/>
        <v>227363</v>
      </c>
      <c r="E116" s="52">
        <f t="shared" si="15"/>
        <v>633462</v>
      </c>
      <c r="F116" s="52">
        <f t="shared" si="15"/>
        <v>863685</v>
      </c>
      <c r="G116" s="52">
        <f t="shared" si="15"/>
        <v>450707</v>
      </c>
      <c r="H116" s="52">
        <f t="shared" si="15"/>
        <v>7195702</v>
      </c>
    </row>
    <row r="117" spans="1:6" s="3" customFormat="1" ht="12.75">
      <c r="A117" s="107" t="s">
        <v>93</v>
      </c>
      <c r="F117" s="107" t="s">
        <v>11</v>
      </c>
    </row>
    <row r="118" spans="1:8" s="3" customFormat="1" ht="12.75" customHeight="1">
      <c r="A118" s="18"/>
      <c r="B118" s="46"/>
      <c r="C118" s="46"/>
      <c r="D118" s="46"/>
      <c r="E118" s="46"/>
      <c r="F118" s="46"/>
      <c r="G118" s="46"/>
      <c r="H118" s="46"/>
    </row>
    <row r="119" spans="1:8" s="3" customFormat="1" ht="12.75" customHeight="1">
      <c r="A119" s="18"/>
      <c r="B119" s="46"/>
      <c r="C119" s="46"/>
      <c r="D119" s="46"/>
      <c r="E119" s="46"/>
      <c r="F119" s="46"/>
      <c r="G119" s="46"/>
      <c r="H119" s="46"/>
    </row>
    <row r="120" spans="1:8" s="3" customFormat="1" ht="12.75" customHeight="1">
      <c r="A120" s="18"/>
      <c r="B120" s="46"/>
      <c r="C120" s="46"/>
      <c r="D120" s="46"/>
      <c r="E120" s="46"/>
      <c r="F120" s="46"/>
      <c r="G120" s="46"/>
      <c r="H120" s="46"/>
    </row>
    <row r="121" spans="1:8" s="3" customFormat="1" ht="19.5" customHeight="1">
      <c r="A121" s="176" t="s">
        <v>165</v>
      </c>
      <c r="B121" s="176"/>
      <c r="C121" s="176"/>
      <c r="D121" s="176"/>
      <c r="E121" s="176"/>
      <c r="F121" s="176"/>
      <c r="G121" s="176"/>
      <c r="H121" s="176"/>
    </row>
    <row r="122" spans="1:2" s="3" customFormat="1" ht="9.75" customHeight="1" thickBot="1">
      <c r="A122" s="11"/>
      <c r="B122" s="15"/>
    </row>
    <row r="123" spans="1:8" s="3" customFormat="1" ht="13.5" customHeight="1" thickBot="1">
      <c r="A123" s="11"/>
      <c r="B123" s="265" t="s">
        <v>46</v>
      </c>
      <c r="C123" s="265"/>
      <c r="D123" s="265"/>
      <c r="E123" s="265"/>
      <c r="F123" s="265"/>
      <c r="G123" s="265"/>
      <c r="H123" s="265"/>
    </row>
    <row r="124" spans="1:8" s="3" customFormat="1" ht="21.75" thickBot="1">
      <c r="A124" s="107"/>
      <c r="B124" s="175" t="s">
        <v>25</v>
      </c>
      <c r="C124" s="175" t="s">
        <v>34</v>
      </c>
      <c r="D124" s="175" t="s">
        <v>26</v>
      </c>
      <c r="E124" s="175" t="s">
        <v>28</v>
      </c>
      <c r="F124" s="175" t="s">
        <v>29</v>
      </c>
      <c r="G124" s="175" t="s">
        <v>30</v>
      </c>
      <c r="H124" s="175" t="s">
        <v>0</v>
      </c>
    </row>
    <row r="125" spans="1:8" s="3" customFormat="1" ht="12.75" customHeight="1">
      <c r="A125" s="97" t="s">
        <v>12</v>
      </c>
      <c r="B125" s="39">
        <v>115685</v>
      </c>
      <c r="C125" s="39">
        <v>193654</v>
      </c>
      <c r="D125" s="39">
        <v>2861</v>
      </c>
      <c r="E125" s="39">
        <v>25970</v>
      </c>
      <c r="F125" s="39">
        <v>54907</v>
      </c>
      <c r="G125" s="155">
        <v>23551</v>
      </c>
      <c r="H125" s="156">
        <f aca="true" t="shared" si="16" ref="H125:H136">SUM(B125:G125)</f>
        <v>416628</v>
      </c>
    </row>
    <row r="126" spans="1:8" s="3" customFormat="1" ht="12.75" customHeight="1">
      <c r="A126" s="101" t="s">
        <v>13</v>
      </c>
      <c r="B126" s="35">
        <v>81635</v>
      </c>
      <c r="C126" s="35">
        <v>315136</v>
      </c>
      <c r="D126" s="35">
        <v>22096</v>
      </c>
      <c r="E126" s="35">
        <v>24009</v>
      </c>
      <c r="F126" s="35">
        <v>53735</v>
      </c>
      <c r="G126" s="157">
        <v>32528</v>
      </c>
      <c r="H126" s="24">
        <f t="shared" si="16"/>
        <v>529139</v>
      </c>
    </row>
    <row r="127" spans="1:8" s="3" customFormat="1" ht="12.75" customHeight="1">
      <c r="A127" s="101" t="s">
        <v>14</v>
      </c>
      <c r="B127" s="35">
        <v>91389</v>
      </c>
      <c r="C127" s="35">
        <v>386849</v>
      </c>
      <c r="D127" s="35">
        <v>29175</v>
      </c>
      <c r="E127" s="35">
        <v>46767</v>
      </c>
      <c r="F127" s="35">
        <v>74622</v>
      </c>
      <c r="G127" s="157">
        <v>26292</v>
      </c>
      <c r="H127" s="24">
        <f t="shared" si="16"/>
        <v>655094</v>
      </c>
    </row>
    <row r="128" spans="1:8" s="3" customFormat="1" ht="12.75" customHeight="1">
      <c r="A128" s="101" t="s">
        <v>15</v>
      </c>
      <c r="B128" s="35">
        <v>105165</v>
      </c>
      <c r="C128" s="35">
        <v>349780</v>
      </c>
      <c r="D128" s="35">
        <v>6683</v>
      </c>
      <c r="E128" s="35">
        <v>43385</v>
      </c>
      <c r="F128" s="35">
        <v>74840</v>
      </c>
      <c r="G128" s="157">
        <v>46589</v>
      </c>
      <c r="H128" s="24">
        <f t="shared" si="16"/>
        <v>626442</v>
      </c>
    </row>
    <row r="129" spans="1:8" s="3" customFormat="1" ht="12.75" customHeight="1">
      <c r="A129" s="101" t="s">
        <v>16</v>
      </c>
      <c r="B129" s="35">
        <v>76581</v>
      </c>
      <c r="C129" s="35">
        <v>313583</v>
      </c>
      <c r="D129" s="35">
        <v>10388</v>
      </c>
      <c r="E129" s="35">
        <v>56825</v>
      </c>
      <c r="F129" s="35">
        <v>94777</v>
      </c>
      <c r="G129" s="157">
        <v>22499</v>
      </c>
      <c r="H129" s="24">
        <f t="shared" si="16"/>
        <v>574653</v>
      </c>
    </row>
    <row r="130" spans="1:8" s="3" customFormat="1" ht="12.75" customHeight="1">
      <c r="A130" s="101" t="s">
        <v>17</v>
      </c>
      <c r="B130" s="35">
        <v>79577</v>
      </c>
      <c r="C130" s="35">
        <v>431987</v>
      </c>
      <c r="D130" s="35">
        <v>30825</v>
      </c>
      <c r="E130" s="35">
        <v>50317</v>
      </c>
      <c r="F130" s="35">
        <v>93325</v>
      </c>
      <c r="G130" s="157">
        <v>37669</v>
      </c>
      <c r="H130" s="24">
        <f t="shared" si="16"/>
        <v>723700</v>
      </c>
    </row>
    <row r="131" spans="1:8" s="3" customFormat="1" ht="12.75" customHeight="1">
      <c r="A131" s="101" t="s">
        <v>18</v>
      </c>
      <c r="B131" s="35">
        <v>109333</v>
      </c>
      <c r="C131" s="35">
        <v>398224</v>
      </c>
      <c r="D131" s="35">
        <v>8426</v>
      </c>
      <c r="E131" s="35">
        <v>53698</v>
      </c>
      <c r="F131" s="35">
        <v>74846</v>
      </c>
      <c r="G131" s="157">
        <v>41629</v>
      </c>
      <c r="H131" s="24">
        <f t="shared" si="16"/>
        <v>686156</v>
      </c>
    </row>
    <row r="132" spans="1:8" s="3" customFormat="1" ht="12.75" customHeight="1">
      <c r="A132" s="101" t="s">
        <v>19</v>
      </c>
      <c r="B132" s="35">
        <v>65389</v>
      </c>
      <c r="C132" s="35">
        <v>353738</v>
      </c>
      <c r="D132" s="35">
        <v>11893</v>
      </c>
      <c r="E132" s="35">
        <v>60184</v>
      </c>
      <c r="F132" s="35">
        <v>75771</v>
      </c>
      <c r="G132" s="157">
        <v>48475</v>
      </c>
      <c r="H132" s="24">
        <f t="shared" si="16"/>
        <v>615450</v>
      </c>
    </row>
    <row r="133" spans="1:8" s="3" customFormat="1" ht="12.75" customHeight="1">
      <c r="A133" s="101" t="s">
        <v>20</v>
      </c>
      <c r="B133" s="35">
        <v>197243</v>
      </c>
      <c r="C133" s="35">
        <v>396820</v>
      </c>
      <c r="D133" s="35">
        <v>6049</v>
      </c>
      <c r="E133" s="35">
        <v>33612</v>
      </c>
      <c r="F133" s="35">
        <v>87245</v>
      </c>
      <c r="G133" s="157">
        <v>46540</v>
      </c>
      <c r="H133" s="24">
        <f t="shared" si="16"/>
        <v>767509</v>
      </c>
    </row>
    <row r="134" spans="1:8" s="3" customFormat="1" ht="12.75" customHeight="1">
      <c r="A134" s="101" t="s">
        <v>21</v>
      </c>
      <c r="B134" s="35">
        <v>75362</v>
      </c>
      <c r="C134" s="35">
        <v>320434</v>
      </c>
      <c r="D134" s="35">
        <v>22597</v>
      </c>
      <c r="E134" s="35">
        <v>44930</v>
      </c>
      <c r="F134" s="35">
        <v>91288</v>
      </c>
      <c r="G134" s="157">
        <v>50256</v>
      </c>
      <c r="H134" s="24">
        <f t="shared" si="16"/>
        <v>604867</v>
      </c>
    </row>
    <row r="135" spans="1:8" s="3" customFormat="1" ht="12.75" customHeight="1">
      <c r="A135" s="101" t="s">
        <v>22</v>
      </c>
      <c r="B135" s="35">
        <v>47303</v>
      </c>
      <c r="C135" s="35">
        <v>324596</v>
      </c>
      <c r="D135" s="35">
        <v>5365</v>
      </c>
      <c r="E135" s="35">
        <v>32900</v>
      </c>
      <c r="F135" s="35">
        <v>51081</v>
      </c>
      <c r="G135" s="157">
        <v>23804</v>
      </c>
      <c r="H135" s="24">
        <f t="shared" si="16"/>
        <v>485049</v>
      </c>
    </row>
    <row r="136" spans="1:8" s="3" customFormat="1" ht="12.75" customHeight="1" thickBot="1">
      <c r="A136" s="98" t="s">
        <v>23</v>
      </c>
      <c r="B136" s="36">
        <v>99062</v>
      </c>
      <c r="C136" s="36">
        <v>671092</v>
      </c>
      <c r="D136" s="36">
        <v>35507</v>
      </c>
      <c r="E136" s="36">
        <v>86331</v>
      </c>
      <c r="F136" s="36">
        <v>84335</v>
      </c>
      <c r="G136" s="158">
        <v>58699</v>
      </c>
      <c r="H136" s="159">
        <f t="shared" si="16"/>
        <v>1035026</v>
      </c>
    </row>
    <row r="137" spans="1:8" s="3" customFormat="1" ht="12.75" customHeight="1" thickBot="1">
      <c r="A137" s="30" t="s">
        <v>55</v>
      </c>
      <c r="B137" s="52">
        <f aca="true" t="shared" si="17" ref="B137:H137">SUM(B125:B136)</f>
        <v>1143724</v>
      </c>
      <c r="C137" s="52">
        <f t="shared" si="17"/>
        <v>4455893</v>
      </c>
      <c r="D137" s="52">
        <f t="shared" si="17"/>
        <v>191865</v>
      </c>
      <c r="E137" s="52">
        <f t="shared" si="17"/>
        <v>558928</v>
      </c>
      <c r="F137" s="52">
        <f t="shared" si="17"/>
        <v>910772</v>
      </c>
      <c r="G137" s="52">
        <f t="shared" si="17"/>
        <v>458531</v>
      </c>
      <c r="H137" s="52">
        <f t="shared" si="17"/>
        <v>7719713</v>
      </c>
    </row>
    <row r="138" spans="1:8" s="3" customFormat="1" ht="12.75" customHeight="1">
      <c r="A138" s="97" t="s">
        <v>12</v>
      </c>
      <c r="B138" s="39">
        <v>54762</v>
      </c>
      <c r="C138" s="39">
        <v>244931</v>
      </c>
      <c r="D138" s="39">
        <v>11471</v>
      </c>
      <c r="E138" s="39">
        <v>20083</v>
      </c>
      <c r="F138" s="39">
        <v>47431</v>
      </c>
      <c r="G138" s="155">
        <v>13423</v>
      </c>
      <c r="H138" s="156">
        <f aca="true" t="shared" si="18" ref="H138:H149">SUM(B138:G138)</f>
        <v>392101</v>
      </c>
    </row>
    <row r="139" spans="1:8" s="3" customFormat="1" ht="12.75" customHeight="1">
      <c r="A139" s="101" t="s">
        <v>13</v>
      </c>
      <c r="B139" s="35">
        <v>119172</v>
      </c>
      <c r="C139" s="35">
        <v>261133</v>
      </c>
      <c r="D139" s="35">
        <v>7220</v>
      </c>
      <c r="E139" s="35">
        <v>39712</v>
      </c>
      <c r="F139" s="35">
        <v>50968</v>
      </c>
      <c r="G139" s="157">
        <v>16707</v>
      </c>
      <c r="H139" s="24">
        <f t="shared" si="18"/>
        <v>494912</v>
      </c>
    </row>
    <row r="140" spans="1:8" s="3" customFormat="1" ht="12.75" customHeight="1">
      <c r="A140" s="101" t="s">
        <v>14</v>
      </c>
      <c r="B140" s="35">
        <v>193383</v>
      </c>
      <c r="C140" s="35">
        <v>398515</v>
      </c>
      <c r="D140" s="35">
        <v>16169</v>
      </c>
      <c r="E140" s="35">
        <v>65175</v>
      </c>
      <c r="F140" s="35">
        <v>63191</v>
      </c>
      <c r="G140" s="157">
        <v>37103</v>
      </c>
      <c r="H140" s="24">
        <f t="shared" si="18"/>
        <v>773536</v>
      </c>
    </row>
    <row r="141" spans="1:8" s="3" customFormat="1" ht="12.75" customHeight="1">
      <c r="A141" s="101" t="s">
        <v>15</v>
      </c>
      <c r="B141" s="35">
        <v>53025</v>
      </c>
      <c r="C141" s="35">
        <v>250911</v>
      </c>
      <c r="D141" s="35">
        <v>23428</v>
      </c>
      <c r="E141" s="35">
        <v>42403</v>
      </c>
      <c r="F141" s="35">
        <v>77083</v>
      </c>
      <c r="G141" s="157">
        <v>29415</v>
      </c>
      <c r="H141" s="24">
        <f t="shared" si="18"/>
        <v>476265</v>
      </c>
    </row>
    <row r="142" spans="1:8" s="3" customFormat="1" ht="12.75" customHeight="1">
      <c r="A142" s="101" t="s">
        <v>16</v>
      </c>
      <c r="B142" s="35">
        <v>149901</v>
      </c>
      <c r="C142" s="35">
        <v>474198</v>
      </c>
      <c r="D142" s="35">
        <v>19584</v>
      </c>
      <c r="E142" s="35">
        <v>52403</v>
      </c>
      <c r="F142" s="35">
        <v>63566</v>
      </c>
      <c r="G142" s="157">
        <v>33355</v>
      </c>
      <c r="H142" s="24">
        <f t="shared" si="18"/>
        <v>793007</v>
      </c>
    </row>
    <row r="143" spans="1:8" s="3" customFormat="1" ht="12.75" customHeight="1">
      <c r="A143" s="101" t="s">
        <v>17</v>
      </c>
      <c r="B143" s="35">
        <v>74937</v>
      </c>
      <c r="C143" s="35">
        <v>367370</v>
      </c>
      <c r="D143" s="35">
        <v>17222</v>
      </c>
      <c r="E143" s="35">
        <v>38177</v>
      </c>
      <c r="F143" s="35">
        <v>78155</v>
      </c>
      <c r="G143" s="157">
        <v>43660</v>
      </c>
      <c r="H143" s="24">
        <f t="shared" si="18"/>
        <v>619521</v>
      </c>
    </row>
    <row r="144" spans="1:8" s="3" customFormat="1" ht="12.75" customHeight="1">
      <c r="A144" s="101" t="s">
        <v>18</v>
      </c>
      <c r="B144" s="35">
        <v>84694</v>
      </c>
      <c r="C144" s="35">
        <v>357553</v>
      </c>
      <c r="D144" s="35">
        <v>22733</v>
      </c>
      <c r="E144" s="35">
        <v>48921</v>
      </c>
      <c r="F144" s="35">
        <v>72558</v>
      </c>
      <c r="G144" s="157">
        <v>33053</v>
      </c>
      <c r="H144" s="24">
        <f t="shared" si="18"/>
        <v>619512</v>
      </c>
    </row>
    <row r="145" spans="1:8" s="3" customFormat="1" ht="12.75" customHeight="1">
      <c r="A145" s="101" t="s">
        <v>19</v>
      </c>
      <c r="B145" s="35">
        <v>65453</v>
      </c>
      <c r="C145" s="35">
        <v>430592</v>
      </c>
      <c r="D145" s="35">
        <v>7369</v>
      </c>
      <c r="E145" s="35">
        <v>66565</v>
      </c>
      <c r="F145" s="35">
        <v>92152</v>
      </c>
      <c r="G145" s="157">
        <v>44759</v>
      </c>
      <c r="H145" s="24">
        <f t="shared" si="18"/>
        <v>706890</v>
      </c>
    </row>
    <row r="146" spans="1:8" s="3" customFormat="1" ht="12.75" customHeight="1">
      <c r="A146" s="101" t="s">
        <v>20</v>
      </c>
      <c r="B146" s="35">
        <v>192534</v>
      </c>
      <c r="C146" s="35">
        <v>345154</v>
      </c>
      <c r="D146" s="35">
        <v>22067</v>
      </c>
      <c r="E146" s="35">
        <v>45368</v>
      </c>
      <c r="F146" s="35">
        <v>93255</v>
      </c>
      <c r="G146" s="157">
        <v>39244</v>
      </c>
      <c r="H146" s="24">
        <f t="shared" si="18"/>
        <v>737622</v>
      </c>
    </row>
    <row r="147" spans="1:8" s="3" customFormat="1" ht="12.75" customHeight="1">
      <c r="A147" s="101" t="s">
        <v>21</v>
      </c>
      <c r="B147" s="35">
        <v>133229</v>
      </c>
      <c r="C147" s="35">
        <v>367764</v>
      </c>
      <c r="D147" s="35">
        <v>49784</v>
      </c>
      <c r="E147" s="35">
        <v>37879</v>
      </c>
      <c r="F147" s="35">
        <v>75825</v>
      </c>
      <c r="G147" s="157">
        <v>30105</v>
      </c>
      <c r="H147" s="24">
        <f t="shared" si="18"/>
        <v>694586</v>
      </c>
    </row>
    <row r="148" spans="1:8" s="3" customFormat="1" ht="12.75" customHeight="1">
      <c r="A148" s="101" t="s">
        <v>22</v>
      </c>
      <c r="B148" s="35">
        <v>59707</v>
      </c>
      <c r="C148" s="35">
        <v>319249</v>
      </c>
      <c r="D148" s="35">
        <v>30893</v>
      </c>
      <c r="E148" s="35">
        <v>16068</v>
      </c>
      <c r="F148" s="35">
        <v>90832</v>
      </c>
      <c r="G148" s="157">
        <v>31623</v>
      </c>
      <c r="H148" s="24">
        <f t="shared" si="18"/>
        <v>548372</v>
      </c>
    </row>
    <row r="149" spans="1:8" s="3" customFormat="1" ht="12.75" customHeight="1" thickBot="1">
      <c r="A149" s="98" t="s">
        <v>23</v>
      </c>
      <c r="B149" s="36">
        <v>249751</v>
      </c>
      <c r="C149" s="36">
        <v>596511</v>
      </c>
      <c r="D149" s="36">
        <v>35995</v>
      </c>
      <c r="E149" s="36">
        <v>50700</v>
      </c>
      <c r="F149" s="36">
        <v>103557</v>
      </c>
      <c r="G149" s="158">
        <v>35584</v>
      </c>
      <c r="H149" s="159">
        <f t="shared" si="18"/>
        <v>1072098</v>
      </c>
    </row>
    <row r="150" spans="1:8" s="3" customFormat="1" ht="12.75" customHeight="1" thickBot="1">
      <c r="A150" s="30" t="s">
        <v>56</v>
      </c>
      <c r="B150" s="52">
        <f aca="true" t="shared" si="19" ref="B150:H150">SUM(B138:B149)</f>
        <v>1430548</v>
      </c>
      <c r="C150" s="52">
        <f t="shared" si="19"/>
        <v>4413881</v>
      </c>
      <c r="D150" s="52">
        <f t="shared" si="19"/>
        <v>263935</v>
      </c>
      <c r="E150" s="52">
        <f t="shared" si="19"/>
        <v>523454</v>
      </c>
      <c r="F150" s="52">
        <f t="shared" si="19"/>
        <v>908573</v>
      </c>
      <c r="G150" s="52">
        <f t="shared" si="19"/>
        <v>388031</v>
      </c>
      <c r="H150" s="52">
        <f t="shared" si="19"/>
        <v>7928422</v>
      </c>
    </row>
    <row r="151" spans="1:8" s="3" customFormat="1" ht="12.75" customHeight="1">
      <c r="A151" s="97" t="s">
        <v>12</v>
      </c>
      <c r="B151" s="39">
        <v>68777</v>
      </c>
      <c r="C151" s="39">
        <v>192598</v>
      </c>
      <c r="D151" s="39">
        <v>15727</v>
      </c>
      <c r="E151" s="39">
        <v>18762</v>
      </c>
      <c r="F151" s="39">
        <v>35707</v>
      </c>
      <c r="G151" s="155">
        <v>13067</v>
      </c>
      <c r="H151" s="156">
        <f aca="true" t="shared" si="20" ref="H151:H162">SUM(B151:G151)</f>
        <v>344638</v>
      </c>
    </row>
    <row r="152" spans="1:8" s="3" customFormat="1" ht="12.75" customHeight="1">
      <c r="A152" s="101" t="s">
        <v>13</v>
      </c>
      <c r="B152" s="35">
        <v>91320</v>
      </c>
      <c r="C152" s="35">
        <v>426099</v>
      </c>
      <c r="D152" s="35">
        <v>8375</v>
      </c>
      <c r="E152" s="35">
        <v>22093</v>
      </c>
      <c r="F152" s="35">
        <v>62195</v>
      </c>
      <c r="G152" s="157">
        <v>27652</v>
      </c>
      <c r="H152" s="24">
        <f t="shared" si="20"/>
        <v>637734</v>
      </c>
    </row>
    <row r="153" spans="1:8" s="3" customFormat="1" ht="12.75" customHeight="1">
      <c r="A153" s="101" t="s">
        <v>14</v>
      </c>
      <c r="B153" s="35">
        <v>181816</v>
      </c>
      <c r="C153" s="35">
        <v>652257</v>
      </c>
      <c r="D153" s="35">
        <v>25170</v>
      </c>
      <c r="E153" s="35">
        <v>71320</v>
      </c>
      <c r="F153" s="35">
        <v>95353</v>
      </c>
      <c r="G153" s="157">
        <v>56528</v>
      </c>
      <c r="H153" s="24">
        <f t="shared" si="20"/>
        <v>1082444</v>
      </c>
    </row>
    <row r="154" spans="1:8" s="3" customFormat="1" ht="12.75" customHeight="1">
      <c r="A154" s="101" t="s">
        <v>15</v>
      </c>
      <c r="B154" s="35">
        <v>131312</v>
      </c>
      <c r="C154" s="35">
        <v>380192</v>
      </c>
      <c r="D154" s="35">
        <v>11328</v>
      </c>
      <c r="E154" s="35">
        <v>62536</v>
      </c>
      <c r="F154" s="35">
        <v>67696</v>
      </c>
      <c r="G154" s="157">
        <v>68167</v>
      </c>
      <c r="H154" s="24">
        <f t="shared" si="20"/>
        <v>721231</v>
      </c>
    </row>
    <row r="155" spans="1:8" s="3" customFormat="1" ht="12.75" customHeight="1">
      <c r="A155" s="101" t="s">
        <v>16</v>
      </c>
      <c r="B155" s="35">
        <v>218342</v>
      </c>
      <c r="C155" s="35">
        <v>603103</v>
      </c>
      <c r="D155" s="35">
        <v>13100</v>
      </c>
      <c r="E155" s="35">
        <v>65928</v>
      </c>
      <c r="F155" s="35">
        <v>105730</v>
      </c>
      <c r="G155" s="157">
        <v>59016</v>
      </c>
      <c r="H155" s="24">
        <f t="shared" si="20"/>
        <v>1065219</v>
      </c>
    </row>
    <row r="156" spans="1:8" s="3" customFormat="1" ht="12.75" customHeight="1">
      <c r="A156" s="101" t="s">
        <v>17</v>
      </c>
      <c r="B156" s="35">
        <v>208968</v>
      </c>
      <c r="C156" s="35">
        <v>468130</v>
      </c>
      <c r="D156" s="35">
        <v>16129</v>
      </c>
      <c r="E156" s="35">
        <v>49486</v>
      </c>
      <c r="F156" s="35">
        <v>89360</v>
      </c>
      <c r="G156" s="157">
        <v>51458</v>
      </c>
      <c r="H156" s="24">
        <f t="shared" si="20"/>
        <v>883531</v>
      </c>
    </row>
    <row r="157" spans="1:8" s="3" customFormat="1" ht="12.75" customHeight="1">
      <c r="A157" s="101" t="s">
        <v>18</v>
      </c>
      <c r="B157" s="35">
        <v>52608</v>
      </c>
      <c r="C157" s="35">
        <v>158501</v>
      </c>
      <c r="D157" s="35">
        <v>307</v>
      </c>
      <c r="E157" s="35">
        <v>9996</v>
      </c>
      <c r="F157" s="35">
        <v>58131</v>
      </c>
      <c r="G157" s="157">
        <v>14727</v>
      </c>
      <c r="H157" s="24">
        <f t="shared" si="20"/>
        <v>294270</v>
      </c>
    </row>
    <row r="158" spans="1:8" s="3" customFormat="1" ht="12.75" customHeight="1">
      <c r="A158" s="101" t="s">
        <v>19</v>
      </c>
      <c r="B158" s="35">
        <v>81320</v>
      </c>
      <c r="C158" s="35">
        <v>236968</v>
      </c>
      <c r="D158" s="35">
        <v>3589</v>
      </c>
      <c r="E158" s="35">
        <v>15659</v>
      </c>
      <c r="F158" s="35">
        <v>4551</v>
      </c>
      <c r="G158" s="157">
        <v>12406</v>
      </c>
      <c r="H158" s="24">
        <f t="shared" si="20"/>
        <v>354493</v>
      </c>
    </row>
    <row r="159" spans="1:8" s="3" customFormat="1" ht="12.75" customHeight="1">
      <c r="A159" s="101" t="s">
        <v>20</v>
      </c>
      <c r="B159" s="35">
        <v>98269</v>
      </c>
      <c r="C159" s="35">
        <v>233376</v>
      </c>
      <c r="D159" s="35">
        <v>9822</v>
      </c>
      <c r="E159" s="35">
        <v>22017</v>
      </c>
      <c r="F159" s="35">
        <v>35452</v>
      </c>
      <c r="G159" s="157">
        <v>11607</v>
      </c>
      <c r="H159" s="24">
        <f t="shared" si="20"/>
        <v>410543</v>
      </c>
    </row>
    <row r="160" spans="1:8" s="3" customFormat="1" ht="12.75" customHeight="1">
      <c r="A160" s="101" t="s">
        <v>21</v>
      </c>
      <c r="B160" s="35">
        <v>110554</v>
      </c>
      <c r="C160" s="35">
        <v>196486</v>
      </c>
      <c r="D160" s="35">
        <v>15846</v>
      </c>
      <c r="E160" s="35">
        <v>55432</v>
      </c>
      <c r="F160" s="35">
        <v>42222</v>
      </c>
      <c r="G160" s="157">
        <v>23127</v>
      </c>
      <c r="H160" s="24">
        <f t="shared" si="20"/>
        <v>443667</v>
      </c>
    </row>
    <row r="161" spans="1:8" s="3" customFormat="1" ht="12.75" customHeight="1">
      <c r="A161" s="101" t="s">
        <v>22</v>
      </c>
      <c r="B161" s="35">
        <v>68261</v>
      </c>
      <c r="C161" s="35">
        <v>289583</v>
      </c>
      <c r="D161" s="35">
        <v>13593</v>
      </c>
      <c r="E161" s="35">
        <v>47176</v>
      </c>
      <c r="F161" s="35">
        <v>52561</v>
      </c>
      <c r="G161" s="157">
        <v>37659</v>
      </c>
      <c r="H161" s="24">
        <f t="shared" si="20"/>
        <v>508833</v>
      </c>
    </row>
    <row r="162" spans="1:8" s="3" customFormat="1" ht="12.75" customHeight="1" thickBot="1">
      <c r="A162" s="98" t="s">
        <v>23</v>
      </c>
      <c r="B162" s="36">
        <v>133932</v>
      </c>
      <c r="C162" s="36">
        <v>447247</v>
      </c>
      <c r="D162" s="36">
        <v>14822</v>
      </c>
      <c r="E162" s="36">
        <v>89015</v>
      </c>
      <c r="F162" s="36">
        <v>70625</v>
      </c>
      <c r="G162" s="158">
        <v>29893</v>
      </c>
      <c r="H162" s="159">
        <f t="shared" si="20"/>
        <v>785534</v>
      </c>
    </row>
    <row r="163" spans="1:8" s="3" customFormat="1" ht="12.75" customHeight="1" thickBot="1">
      <c r="A163" s="30" t="s">
        <v>57</v>
      </c>
      <c r="B163" s="52">
        <f aca="true" t="shared" si="21" ref="B163:H163">SUM(B151:B162)</f>
        <v>1445479</v>
      </c>
      <c r="C163" s="52">
        <f t="shared" si="21"/>
        <v>4284540</v>
      </c>
      <c r="D163" s="52">
        <f t="shared" si="21"/>
        <v>147808</v>
      </c>
      <c r="E163" s="52">
        <f t="shared" si="21"/>
        <v>529420</v>
      </c>
      <c r="F163" s="52">
        <f t="shared" si="21"/>
        <v>719583</v>
      </c>
      <c r="G163" s="52">
        <f t="shared" si="21"/>
        <v>405307</v>
      </c>
      <c r="H163" s="52">
        <f t="shared" si="21"/>
        <v>7532137</v>
      </c>
    </row>
    <row r="164" spans="1:8" s="3" customFormat="1" ht="12.75" customHeight="1">
      <c r="A164" s="97" t="s">
        <v>12</v>
      </c>
      <c r="B164" s="39">
        <v>180061</v>
      </c>
      <c r="C164" s="39">
        <v>157141</v>
      </c>
      <c r="D164" s="39">
        <v>1616</v>
      </c>
      <c r="E164" s="39">
        <v>12497</v>
      </c>
      <c r="F164" s="39">
        <v>35926</v>
      </c>
      <c r="G164" s="155">
        <v>13794</v>
      </c>
      <c r="H164" s="156">
        <f aca="true" t="shared" si="22" ref="H164:H175">SUM(B164:G164)</f>
        <v>401035</v>
      </c>
    </row>
    <row r="165" spans="1:8" s="3" customFormat="1" ht="12.75" customHeight="1">
      <c r="A165" s="101" t="s">
        <v>13</v>
      </c>
      <c r="B165" s="35">
        <v>71924</v>
      </c>
      <c r="C165" s="35">
        <v>247953</v>
      </c>
      <c r="D165" s="35">
        <v>10313</v>
      </c>
      <c r="E165" s="35">
        <v>40263</v>
      </c>
      <c r="F165" s="35">
        <v>68756</v>
      </c>
      <c r="G165" s="157">
        <v>25324</v>
      </c>
      <c r="H165" s="24">
        <f t="shared" si="22"/>
        <v>464533</v>
      </c>
    </row>
    <row r="166" spans="1:8" s="3" customFormat="1" ht="12.75" customHeight="1">
      <c r="A166" s="101" t="s">
        <v>14</v>
      </c>
      <c r="B166" s="35">
        <v>88489</v>
      </c>
      <c r="C166" s="35">
        <v>299509</v>
      </c>
      <c r="D166" s="35">
        <v>30618</v>
      </c>
      <c r="E166" s="35">
        <v>40173</v>
      </c>
      <c r="F166" s="35">
        <v>49598</v>
      </c>
      <c r="G166" s="157">
        <v>34562</v>
      </c>
      <c r="H166" s="24">
        <f t="shared" si="22"/>
        <v>542949</v>
      </c>
    </row>
    <row r="167" spans="1:8" s="3" customFormat="1" ht="12.75" customHeight="1">
      <c r="A167" s="101" t="s">
        <v>15</v>
      </c>
      <c r="B167" s="35">
        <v>126495</v>
      </c>
      <c r="C167" s="35">
        <v>432842</v>
      </c>
      <c r="D167" s="35">
        <v>16810</v>
      </c>
      <c r="E167" s="35">
        <v>30819</v>
      </c>
      <c r="F167" s="35">
        <v>66520</v>
      </c>
      <c r="G167" s="157">
        <v>28890</v>
      </c>
      <c r="H167" s="24">
        <f t="shared" si="22"/>
        <v>702376</v>
      </c>
    </row>
    <row r="168" spans="1:8" s="3" customFormat="1" ht="12.75" customHeight="1">
      <c r="A168" s="101" t="s">
        <v>16</v>
      </c>
      <c r="B168" s="35">
        <v>129389</v>
      </c>
      <c r="C168" s="35">
        <v>399703</v>
      </c>
      <c r="D168" s="35">
        <v>12939</v>
      </c>
      <c r="E168" s="35">
        <v>40899</v>
      </c>
      <c r="F168" s="35">
        <v>67557</v>
      </c>
      <c r="G168" s="157">
        <v>51856</v>
      </c>
      <c r="H168" s="24">
        <f t="shared" si="22"/>
        <v>702343</v>
      </c>
    </row>
    <row r="169" spans="1:8" s="3" customFormat="1" ht="12.75" customHeight="1">
      <c r="A169" s="101" t="s">
        <v>17</v>
      </c>
      <c r="B169" s="35">
        <v>226890</v>
      </c>
      <c r="C169" s="35">
        <v>369739</v>
      </c>
      <c r="D169" s="35">
        <v>51911</v>
      </c>
      <c r="E169" s="35">
        <v>40631</v>
      </c>
      <c r="F169" s="35">
        <v>58685</v>
      </c>
      <c r="G169" s="157">
        <v>30154</v>
      </c>
      <c r="H169" s="24">
        <f t="shared" si="22"/>
        <v>778010</v>
      </c>
    </row>
    <row r="170" spans="1:8" s="3" customFormat="1" ht="12.75" customHeight="1">
      <c r="A170" s="101" t="s">
        <v>18</v>
      </c>
      <c r="B170" s="35">
        <v>135000</v>
      </c>
      <c r="C170" s="35">
        <v>360502</v>
      </c>
      <c r="D170" s="35">
        <v>4030</v>
      </c>
      <c r="E170" s="35">
        <v>34254</v>
      </c>
      <c r="F170" s="35">
        <v>75510</v>
      </c>
      <c r="G170" s="157">
        <v>34377</v>
      </c>
      <c r="H170" s="24">
        <f t="shared" si="22"/>
        <v>643673</v>
      </c>
    </row>
    <row r="171" spans="1:8" s="3" customFormat="1" ht="12.75" customHeight="1">
      <c r="A171" s="101" t="s">
        <v>19</v>
      </c>
      <c r="B171" s="35">
        <v>87432</v>
      </c>
      <c r="C171" s="35">
        <v>308626</v>
      </c>
      <c r="D171" s="35">
        <v>11214</v>
      </c>
      <c r="E171" s="35">
        <v>111774</v>
      </c>
      <c r="F171" s="35">
        <v>90163</v>
      </c>
      <c r="G171" s="157">
        <v>46444</v>
      </c>
      <c r="H171" s="24">
        <f t="shared" si="22"/>
        <v>655653</v>
      </c>
    </row>
    <row r="172" spans="1:8" s="3" customFormat="1" ht="12.75" customHeight="1">
      <c r="A172" s="101" t="s">
        <v>20</v>
      </c>
      <c r="B172" s="35">
        <v>193060</v>
      </c>
      <c r="C172" s="35">
        <v>309350</v>
      </c>
      <c r="D172" s="35">
        <v>1476</v>
      </c>
      <c r="E172" s="35">
        <v>57456</v>
      </c>
      <c r="F172" s="35">
        <v>63394</v>
      </c>
      <c r="G172" s="157">
        <v>39456</v>
      </c>
      <c r="H172" s="24">
        <f t="shared" si="22"/>
        <v>664192</v>
      </c>
    </row>
    <row r="173" spans="1:8" s="3" customFormat="1" ht="12.75" customHeight="1">
      <c r="A173" s="101" t="s">
        <v>21</v>
      </c>
      <c r="B173" s="35">
        <v>111198</v>
      </c>
      <c r="C173" s="35">
        <v>484901</v>
      </c>
      <c r="D173" s="35">
        <v>4810</v>
      </c>
      <c r="E173" s="35">
        <v>44832</v>
      </c>
      <c r="F173" s="35">
        <v>64608</v>
      </c>
      <c r="G173" s="157">
        <v>37874</v>
      </c>
      <c r="H173" s="24">
        <f t="shared" si="22"/>
        <v>748223</v>
      </c>
    </row>
    <row r="174" spans="1:8" s="3" customFormat="1" ht="12.75" customHeight="1">
      <c r="A174" s="101" t="s">
        <v>22</v>
      </c>
      <c r="B174" s="35">
        <v>97190</v>
      </c>
      <c r="C174" s="35">
        <v>369767</v>
      </c>
      <c r="D174" s="35">
        <v>5759</v>
      </c>
      <c r="E174" s="35">
        <v>48995</v>
      </c>
      <c r="F174" s="35">
        <v>81578</v>
      </c>
      <c r="G174" s="157">
        <v>24830</v>
      </c>
      <c r="H174" s="24">
        <f t="shared" si="22"/>
        <v>628119</v>
      </c>
    </row>
    <row r="175" spans="1:8" s="3" customFormat="1" ht="12.75" customHeight="1" thickBot="1">
      <c r="A175" s="98" t="s">
        <v>23</v>
      </c>
      <c r="B175" s="36">
        <v>163375</v>
      </c>
      <c r="C175" s="36">
        <v>610407</v>
      </c>
      <c r="D175" s="36">
        <v>5572</v>
      </c>
      <c r="E175" s="36">
        <v>75709</v>
      </c>
      <c r="F175" s="36">
        <v>92944</v>
      </c>
      <c r="G175" s="158">
        <v>42207</v>
      </c>
      <c r="H175" s="159">
        <f t="shared" si="22"/>
        <v>990214</v>
      </c>
    </row>
    <row r="176" spans="1:8" s="3" customFormat="1" ht="12.75" customHeight="1" thickBot="1">
      <c r="A176" s="30" t="s">
        <v>58</v>
      </c>
      <c r="B176" s="52">
        <f aca="true" t="shared" si="23" ref="B176:H176">SUM(B164:B175)</f>
        <v>1610503</v>
      </c>
      <c r="C176" s="52">
        <f t="shared" si="23"/>
        <v>4350440</v>
      </c>
      <c r="D176" s="52">
        <f t="shared" si="23"/>
        <v>157068</v>
      </c>
      <c r="E176" s="52">
        <f t="shared" si="23"/>
        <v>578302</v>
      </c>
      <c r="F176" s="52">
        <f t="shared" si="23"/>
        <v>815239</v>
      </c>
      <c r="G176" s="52">
        <f t="shared" si="23"/>
        <v>409768</v>
      </c>
      <c r="H176" s="52">
        <f t="shared" si="23"/>
        <v>7921320</v>
      </c>
    </row>
    <row r="177" spans="1:6" s="3" customFormat="1" ht="12.75">
      <c r="A177" s="107" t="s">
        <v>93</v>
      </c>
      <c r="F177" s="107" t="s">
        <v>11</v>
      </c>
    </row>
    <row r="178" spans="1:8" s="3" customFormat="1" ht="12" customHeight="1">
      <c r="A178" s="18"/>
      <c r="B178" s="46"/>
      <c r="C178" s="46"/>
      <c r="D178" s="46"/>
      <c r="E178" s="46"/>
      <c r="F178" s="46"/>
      <c r="G178" s="46"/>
      <c r="H178" s="46"/>
    </row>
    <row r="179" spans="1:8" s="3" customFormat="1" ht="12" customHeight="1">
      <c r="A179" s="18"/>
      <c r="B179" s="46"/>
      <c r="C179" s="46"/>
      <c r="D179" s="46"/>
      <c r="E179" s="46"/>
      <c r="F179" s="46"/>
      <c r="G179" s="46"/>
      <c r="H179" s="46"/>
    </row>
    <row r="180" spans="1:8" s="3" customFormat="1" ht="12" customHeight="1">
      <c r="A180" s="18"/>
      <c r="B180" s="46"/>
      <c r="C180" s="46"/>
      <c r="D180" s="46"/>
      <c r="E180" s="46"/>
      <c r="F180" s="46"/>
      <c r="G180" s="46"/>
      <c r="H180" s="46"/>
    </row>
    <row r="181" spans="1:8" s="3" customFormat="1" ht="18.75">
      <c r="A181" s="176" t="s">
        <v>166</v>
      </c>
      <c r="B181" s="176"/>
      <c r="C181" s="176"/>
      <c r="D181" s="176"/>
      <c r="E181" s="176"/>
      <c r="F181" s="176"/>
      <c r="G181" s="176"/>
      <c r="H181" s="176"/>
    </row>
    <row r="182" spans="1:2" s="3" customFormat="1" ht="9.75" customHeight="1" thickBot="1">
      <c r="A182" s="11"/>
      <c r="B182" s="15"/>
    </row>
    <row r="183" spans="1:8" s="3" customFormat="1" ht="13.5" customHeight="1" thickBot="1">
      <c r="A183" s="11"/>
      <c r="B183" s="265" t="s">
        <v>46</v>
      </c>
      <c r="C183" s="265"/>
      <c r="D183" s="265"/>
      <c r="E183" s="265"/>
      <c r="F183" s="265"/>
      <c r="G183" s="265"/>
      <c r="H183" s="265"/>
    </row>
    <row r="184" spans="1:8" s="3" customFormat="1" ht="21.75" thickBot="1">
      <c r="A184" s="107"/>
      <c r="B184" s="175" t="s">
        <v>25</v>
      </c>
      <c r="C184" s="175" t="s">
        <v>34</v>
      </c>
      <c r="D184" s="175" t="s">
        <v>26</v>
      </c>
      <c r="E184" s="175" t="s">
        <v>28</v>
      </c>
      <c r="F184" s="175" t="s">
        <v>29</v>
      </c>
      <c r="G184" s="175" t="s">
        <v>30</v>
      </c>
      <c r="H184" s="175" t="s">
        <v>0</v>
      </c>
    </row>
    <row r="185" spans="1:8" s="3" customFormat="1" ht="12.75" customHeight="1">
      <c r="A185" s="97" t="s">
        <v>12</v>
      </c>
      <c r="B185" s="39">
        <v>49840</v>
      </c>
      <c r="C185" s="39">
        <v>229893</v>
      </c>
      <c r="D185" s="39">
        <v>5232</v>
      </c>
      <c r="E185" s="39">
        <v>12947</v>
      </c>
      <c r="F185" s="39">
        <v>74495</v>
      </c>
      <c r="G185" s="155">
        <v>39175</v>
      </c>
      <c r="H185" s="156">
        <f>SUM(B185:G185)</f>
        <v>411582</v>
      </c>
    </row>
    <row r="186" spans="1:8" s="3" customFormat="1" ht="12.75" customHeight="1">
      <c r="A186" s="101" t="s">
        <v>13</v>
      </c>
      <c r="B186" s="35">
        <v>159585</v>
      </c>
      <c r="C186" s="35">
        <v>340619</v>
      </c>
      <c r="D186" s="35">
        <v>12782</v>
      </c>
      <c r="E186" s="35">
        <v>39629</v>
      </c>
      <c r="F186" s="35">
        <v>94414</v>
      </c>
      <c r="G186" s="157">
        <v>27809</v>
      </c>
      <c r="H186" s="24">
        <f>SUM(B186:G186)</f>
        <v>674838</v>
      </c>
    </row>
    <row r="187" spans="1:8" s="3" customFormat="1" ht="12.75" customHeight="1">
      <c r="A187" s="101" t="s">
        <v>14</v>
      </c>
      <c r="B187" s="35">
        <v>127647</v>
      </c>
      <c r="C187" s="35">
        <v>462626</v>
      </c>
      <c r="D187" s="35">
        <v>10319</v>
      </c>
      <c r="E187" s="35">
        <v>39084</v>
      </c>
      <c r="F187" s="35">
        <v>109373</v>
      </c>
      <c r="G187" s="157">
        <v>42244</v>
      </c>
      <c r="H187" s="24">
        <f aca="true" t="shared" si="24" ref="H187:H193">SUM(B187:G187)</f>
        <v>791293</v>
      </c>
    </row>
    <row r="188" spans="1:8" s="3" customFormat="1" ht="12.75" customHeight="1">
      <c r="A188" s="101" t="s">
        <v>15</v>
      </c>
      <c r="B188" s="35">
        <v>131974</v>
      </c>
      <c r="C188" s="35">
        <v>480241</v>
      </c>
      <c r="D188" s="35">
        <v>27088</v>
      </c>
      <c r="E188" s="35">
        <v>78708</v>
      </c>
      <c r="F188" s="35">
        <v>98782</v>
      </c>
      <c r="G188" s="157">
        <v>46958</v>
      </c>
      <c r="H188" s="24">
        <f t="shared" si="24"/>
        <v>863751</v>
      </c>
    </row>
    <row r="189" spans="1:8" s="3" customFormat="1" ht="12.75" customHeight="1">
      <c r="A189" s="101" t="s">
        <v>16</v>
      </c>
      <c r="B189" s="35">
        <v>95591</v>
      </c>
      <c r="C189" s="35">
        <v>459772</v>
      </c>
      <c r="D189" s="35">
        <v>17244</v>
      </c>
      <c r="E189" s="35">
        <v>52666</v>
      </c>
      <c r="F189" s="35">
        <v>84600</v>
      </c>
      <c r="G189" s="157">
        <v>34689</v>
      </c>
      <c r="H189" s="24">
        <f t="shared" si="24"/>
        <v>744562</v>
      </c>
    </row>
    <row r="190" spans="1:8" s="3" customFormat="1" ht="12.75" customHeight="1">
      <c r="A190" s="101" t="s">
        <v>17</v>
      </c>
      <c r="B190" s="35">
        <v>137814</v>
      </c>
      <c r="C190" s="35">
        <v>519961</v>
      </c>
      <c r="D190" s="35">
        <v>9211</v>
      </c>
      <c r="E190" s="35">
        <v>42853</v>
      </c>
      <c r="F190" s="35">
        <v>109538</v>
      </c>
      <c r="G190" s="157">
        <v>60655</v>
      </c>
      <c r="H190" s="24">
        <f t="shared" si="24"/>
        <v>880032</v>
      </c>
    </row>
    <row r="191" spans="1:8" s="3" customFormat="1" ht="12.75" customHeight="1">
      <c r="A191" s="101" t="s">
        <v>18</v>
      </c>
      <c r="B191" s="35">
        <v>34166</v>
      </c>
      <c r="C191" s="35">
        <v>548192</v>
      </c>
      <c r="D191" s="35">
        <v>13334</v>
      </c>
      <c r="E191" s="35">
        <v>78547</v>
      </c>
      <c r="F191" s="35">
        <v>107460</v>
      </c>
      <c r="G191" s="157">
        <v>40933</v>
      </c>
      <c r="H191" s="24">
        <f t="shared" si="24"/>
        <v>822632</v>
      </c>
    </row>
    <row r="192" spans="1:8" s="3" customFormat="1" ht="12.75" customHeight="1">
      <c r="A192" s="101" t="s">
        <v>19</v>
      </c>
      <c r="B192" s="35">
        <v>93390</v>
      </c>
      <c r="C192" s="35">
        <v>402674</v>
      </c>
      <c r="D192" s="35">
        <v>16894</v>
      </c>
      <c r="E192" s="35">
        <v>62690</v>
      </c>
      <c r="F192" s="35">
        <v>118838</v>
      </c>
      <c r="G192" s="157">
        <v>54521</v>
      </c>
      <c r="H192" s="24">
        <f t="shared" si="24"/>
        <v>749007</v>
      </c>
    </row>
    <row r="193" spans="1:8" s="3" customFormat="1" ht="12.75" customHeight="1">
      <c r="A193" s="101" t="s">
        <v>20</v>
      </c>
      <c r="B193" s="35">
        <v>409244</v>
      </c>
      <c r="C193" s="35">
        <v>608282</v>
      </c>
      <c r="D193" s="35">
        <v>8108</v>
      </c>
      <c r="E193" s="35">
        <v>63633</v>
      </c>
      <c r="F193" s="35">
        <v>147482</v>
      </c>
      <c r="G193" s="157">
        <v>47113</v>
      </c>
      <c r="H193" s="24">
        <f t="shared" si="24"/>
        <v>1283862</v>
      </c>
    </row>
    <row r="194" spans="1:8" s="3" customFormat="1" ht="12.75" customHeight="1">
      <c r="A194" s="101" t="s">
        <v>21</v>
      </c>
      <c r="B194" s="35">
        <v>130677</v>
      </c>
      <c r="C194" s="35">
        <v>587069</v>
      </c>
      <c r="D194" s="35">
        <v>12490</v>
      </c>
      <c r="E194" s="35">
        <v>67336</v>
      </c>
      <c r="F194" s="35">
        <v>139800</v>
      </c>
      <c r="G194" s="157">
        <v>73620</v>
      </c>
      <c r="H194" s="24">
        <f>SUM(B194:G194)</f>
        <v>1010992</v>
      </c>
    </row>
    <row r="195" spans="1:8" s="3" customFormat="1" ht="12.75" customHeight="1">
      <c r="A195" s="101" t="s">
        <v>22</v>
      </c>
      <c r="B195" s="35">
        <v>152770</v>
      </c>
      <c r="C195" s="35">
        <v>764845</v>
      </c>
      <c r="D195" s="35">
        <v>13181</v>
      </c>
      <c r="E195" s="35">
        <v>78940</v>
      </c>
      <c r="F195" s="35">
        <v>119684</v>
      </c>
      <c r="G195" s="157">
        <v>83172</v>
      </c>
      <c r="H195" s="24">
        <f>SUM(B195:G195)</f>
        <v>1212592</v>
      </c>
    </row>
    <row r="196" spans="1:8" s="3" customFormat="1" ht="12.75" customHeight="1" thickBot="1">
      <c r="A196" s="98" t="s">
        <v>23</v>
      </c>
      <c r="B196" s="36">
        <v>625058</v>
      </c>
      <c r="C196" s="36">
        <v>3029584</v>
      </c>
      <c r="D196" s="36">
        <v>48739</v>
      </c>
      <c r="E196" s="36">
        <v>336354</v>
      </c>
      <c r="F196" s="36">
        <v>538430</v>
      </c>
      <c r="G196" s="158">
        <v>257545</v>
      </c>
      <c r="H196" s="159">
        <f>SUM(B196:G196)</f>
        <v>4835710</v>
      </c>
    </row>
    <row r="197" spans="1:8" s="3" customFormat="1" ht="12.75" customHeight="1" thickBot="1">
      <c r="A197" s="30" t="s">
        <v>59</v>
      </c>
      <c r="B197" s="52">
        <f aca="true" t="shared" si="25" ref="B197:H197">SUM(B185:B196)</f>
        <v>2147756</v>
      </c>
      <c r="C197" s="52">
        <f t="shared" si="25"/>
        <v>8433758</v>
      </c>
      <c r="D197" s="52">
        <f t="shared" si="25"/>
        <v>194622</v>
      </c>
      <c r="E197" s="52">
        <f t="shared" si="25"/>
        <v>953387</v>
      </c>
      <c r="F197" s="52">
        <f t="shared" si="25"/>
        <v>1742896</v>
      </c>
      <c r="G197" s="52">
        <f t="shared" si="25"/>
        <v>808434</v>
      </c>
      <c r="H197" s="52">
        <f t="shared" si="25"/>
        <v>14280853</v>
      </c>
    </row>
    <row r="198" spans="1:8" s="3" customFormat="1" ht="12.75" customHeight="1">
      <c r="A198" s="97" t="s">
        <v>12</v>
      </c>
      <c r="B198" s="39">
        <v>4296</v>
      </c>
      <c r="C198" s="39">
        <v>63695</v>
      </c>
      <c r="D198" s="39">
        <v>113</v>
      </c>
      <c r="E198" s="39">
        <v>14197</v>
      </c>
      <c r="F198" s="39">
        <v>20482</v>
      </c>
      <c r="G198" s="155">
        <v>8220</v>
      </c>
      <c r="H198" s="156">
        <f>SUM(B198:G198)</f>
        <v>111003</v>
      </c>
    </row>
    <row r="199" spans="1:8" s="3" customFormat="1" ht="12.75" customHeight="1">
      <c r="A199" s="101" t="s">
        <v>13</v>
      </c>
      <c r="B199" s="35">
        <v>138676</v>
      </c>
      <c r="C199" s="35">
        <v>366100</v>
      </c>
      <c r="D199" s="35">
        <v>201299</v>
      </c>
      <c r="E199" s="35">
        <v>64089</v>
      </c>
      <c r="F199" s="35">
        <v>92725</v>
      </c>
      <c r="G199" s="157">
        <v>46546</v>
      </c>
      <c r="H199" s="24">
        <f>SUM(B199:G199)</f>
        <v>909435</v>
      </c>
    </row>
    <row r="200" spans="1:8" s="3" customFormat="1" ht="12.75" customHeight="1">
      <c r="A200" s="101" t="s">
        <v>14</v>
      </c>
      <c r="B200" s="35">
        <v>75167</v>
      </c>
      <c r="C200" s="35">
        <v>418961</v>
      </c>
      <c r="D200" s="35">
        <v>6659</v>
      </c>
      <c r="E200" s="35">
        <v>41644</v>
      </c>
      <c r="F200" s="35">
        <v>78159</v>
      </c>
      <c r="G200" s="157">
        <v>58712</v>
      </c>
      <c r="H200" s="24">
        <f aca="true" t="shared" si="26" ref="H200:H208">SUM(B200:G200)</f>
        <v>679302</v>
      </c>
    </row>
    <row r="201" spans="1:8" s="3" customFormat="1" ht="12.75" customHeight="1">
      <c r="A201" s="101" t="s">
        <v>15</v>
      </c>
      <c r="B201" s="35">
        <v>52707</v>
      </c>
      <c r="C201" s="35">
        <v>560594</v>
      </c>
      <c r="D201" s="35">
        <v>1649</v>
      </c>
      <c r="E201" s="35">
        <v>56853</v>
      </c>
      <c r="F201" s="35">
        <v>106844</v>
      </c>
      <c r="G201" s="157">
        <v>70604</v>
      </c>
      <c r="H201" s="24">
        <f t="shared" si="26"/>
        <v>849251</v>
      </c>
    </row>
    <row r="202" spans="1:8" s="3" customFormat="1" ht="12.75" customHeight="1">
      <c r="A202" s="101" t="s">
        <v>16</v>
      </c>
      <c r="B202" s="35">
        <v>39145</v>
      </c>
      <c r="C202" s="35">
        <v>544659</v>
      </c>
      <c r="D202" s="35">
        <v>2168</v>
      </c>
      <c r="E202" s="35">
        <v>82419</v>
      </c>
      <c r="F202" s="35">
        <v>116686</v>
      </c>
      <c r="G202" s="157">
        <v>80944</v>
      </c>
      <c r="H202" s="24">
        <f t="shared" si="26"/>
        <v>866021</v>
      </c>
    </row>
    <row r="203" spans="1:8" s="3" customFormat="1" ht="12.75" customHeight="1">
      <c r="A203" s="101" t="s">
        <v>17</v>
      </c>
      <c r="B203" s="35">
        <v>169541</v>
      </c>
      <c r="C203" s="35">
        <v>1099984</v>
      </c>
      <c r="D203" s="35">
        <v>19889</v>
      </c>
      <c r="E203" s="35">
        <v>118007</v>
      </c>
      <c r="F203" s="35">
        <v>271559</v>
      </c>
      <c r="G203" s="157">
        <v>114659</v>
      </c>
      <c r="H203" s="24">
        <f t="shared" si="26"/>
        <v>1793639</v>
      </c>
    </row>
    <row r="204" spans="1:8" s="3" customFormat="1" ht="12.75" customHeight="1">
      <c r="A204" s="101" t="s">
        <v>18</v>
      </c>
      <c r="B204" s="35">
        <v>38938</v>
      </c>
      <c r="C204" s="35">
        <v>234914</v>
      </c>
      <c r="D204" s="35">
        <v>5850</v>
      </c>
      <c r="E204" s="35">
        <v>40267</v>
      </c>
      <c r="F204" s="35">
        <v>26734</v>
      </c>
      <c r="G204" s="157">
        <v>11610</v>
      </c>
      <c r="H204" s="24">
        <f t="shared" si="26"/>
        <v>358313</v>
      </c>
    </row>
    <row r="205" spans="1:8" s="3" customFormat="1" ht="12.75" customHeight="1">
      <c r="A205" s="101" t="s">
        <v>19</v>
      </c>
      <c r="B205" s="35">
        <v>74426</v>
      </c>
      <c r="C205" s="35">
        <v>428028</v>
      </c>
      <c r="D205" s="35">
        <v>8201</v>
      </c>
      <c r="E205" s="35">
        <v>62506</v>
      </c>
      <c r="F205" s="35">
        <v>86166</v>
      </c>
      <c r="G205" s="157">
        <v>47505</v>
      </c>
      <c r="H205" s="24">
        <f t="shared" si="26"/>
        <v>706832</v>
      </c>
    </row>
    <row r="206" spans="1:8" s="3" customFormat="1" ht="12.75" customHeight="1">
      <c r="A206" s="101" t="s">
        <v>20</v>
      </c>
      <c r="B206" s="35">
        <v>260609</v>
      </c>
      <c r="C206" s="35">
        <v>680318</v>
      </c>
      <c r="D206" s="35">
        <v>14341</v>
      </c>
      <c r="E206" s="35">
        <v>99384</v>
      </c>
      <c r="F206" s="35">
        <v>108869</v>
      </c>
      <c r="G206" s="157">
        <v>72132</v>
      </c>
      <c r="H206" s="24">
        <f t="shared" si="26"/>
        <v>1235653</v>
      </c>
    </row>
    <row r="207" spans="1:8" s="3" customFormat="1" ht="12.75" customHeight="1">
      <c r="A207" s="101" t="s">
        <v>21</v>
      </c>
      <c r="B207" s="35">
        <v>56866</v>
      </c>
      <c r="C207" s="35">
        <v>487419</v>
      </c>
      <c r="D207" s="35">
        <v>2731</v>
      </c>
      <c r="E207" s="35">
        <v>111253</v>
      </c>
      <c r="F207" s="35">
        <v>125607</v>
      </c>
      <c r="G207" s="157">
        <v>49748</v>
      </c>
      <c r="H207" s="24">
        <f t="shared" si="26"/>
        <v>833624</v>
      </c>
    </row>
    <row r="208" spans="1:8" s="3" customFormat="1" ht="12.75" customHeight="1">
      <c r="A208" s="101" t="s">
        <v>22</v>
      </c>
      <c r="B208" s="35">
        <v>140537</v>
      </c>
      <c r="C208" s="35">
        <v>627743</v>
      </c>
      <c r="D208" s="35">
        <v>3510</v>
      </c>
      <c r="E208" s="35">
        <v>63909</v>
      </c>
      <c r="F208" s="35">
        <v>117564</v>
      </c>
      <c r="G208" s="157">
        <v>51219</v>
      </c>
      <c r="H208" s="24">
        <f t="shared" si="26"/>
        <v>1004482</v>
      </c>
    </row>
    <row r="209" spans="1:8" s="3" customFormat="1" ht="12.75" customHeight="1" thickBot="1">
      <c r="A209" s="98" t="s">
        <v>23</v>
      </c>
      <c r="B209" s="36">
        <v>352750</v>
      </c>
      <c r="C209" s="36">
        <v>1247272</v>
      </c>
      <c r="D209" s="36">
        <v>14984</v>
      </c>
      <c r="E209" s="36">
        <v>153719</v>
      </c>
      <c r="F209" s="36">
        <v>273774</v>
      </c>
      <c r="G209" s="158">
        <v>119088</v>
      </c>
      <c r="H209" s="159">
        <f>SUM(B209:G209)</f>
        <v>2161587</v>
      </c>
    </row>
    <row r="210" spans="1:8" s="3" customFormat="1" ht="12.75" customHeight="1" thickBot="1">
      <c r="A210" s="30" t="s">
        <v>24</v>
      </c>
      <c r="B210" s="52">
        <f aca="true" t="shared" si="27" ref="B210:H210">SUM(B198:B209)</f>
        <v>1403658</v>
      </c>
      <c r="C210" s="52">
        <f t="shared" si="27"/>
        <v>6759687</v>
      </c>
      <c r="D210" s="52">
        <f t="shared" si="27"/>
        <v>281394</v>
      </c>
      <c r="E210" s="52">
        <f t="shared" si="27"/>
        <v>908247</v>
      </c>
      <c r="F210" s="52">
        <f t="shared" si="27"/>
        <v>1425169</v>
      </c>
      <c r="G210" s="52">
        <f t="shared" si="27"/>
        <v>730987</v>
      </c>
      <c r="H210" s="52">
        <f t="shared" si="27"/>
        <v>11509142</v>
      </c>
    </row>
    <row r="211" spans="1:8" s="3" customFormat="1" ht="12.75" customHeight="1">
      <c r="A211" s="97" t="s">
        <v>12</v>
      </c>
      <c r="B211" s="39">
        <f>B5+B18+B31+B44+B65+B78+B91+B104+B125+B138+B151+B164+B185+B198</f>
        <v>694185</v>
      </c>
      <c r="C211" s="39">
        <f>C5+C18+C31+C44+C65+C78+C91+C104+C125+C138+C151+C164+C185+C198</f>
        <v>2973392</v>
      </c>
      <c r="D211" s="39">
        <f>D5+D18+D31+D44+D65+D78+D91+D104+D125+D138+D151+D164+D185+D198</f>
        <v>156914</v>
      </c>
      <c r="E211" s="39">
        <f>E5+E18+E31+E44+E65+E78+E91+E104+E125+E138+E151+E164+E185+E198</f>
        <v>356673</v>
      </c>
      <c r="F211" s="39">
        <f>F5+F18+F31+F44+F65+F78+F91+F104+F125+F138+F151+F164+F185+F198</f>
        <v>695568</v>
      </c>
      <c r="G211" s="39">
        <f>G5+G18+G31+G44+G65+G78+G91+G104+G125+G138+G151+G164+G185+G198</f>
        <v>290705</v>
      </c>
      <c r="H211" s="108">
        <f>SUM(B211:G211)</f>
        <v>5167437</v>
      </c>
    </row>
    <row r="212" spans="1:8" s="3" customFormat="1" ht="12.75" customHeight="1">
      <c r="A212" s="101" t="s">
        <v>13</v>
      </c>
      <c r="B212" s="35">
        <f>B6+B19+B32+B45+B66+B79+B92+B105+B126+B139+B152+B165+B186+B199</f>
        <v>1020786</v>
      </c>
      <c r="C212" s="35">
        <f>C6+C19+C32+C45+C66+C79+C92+C105+C126+C139+C152+C165+C186+C199</f>
        <v>4435671</v>
      </c>
      <c r="D212" s="35">
        <f>D6+D19+D32+D45+D66+D79+D92+D105+D126+D139+D152+D165+D186+D199</f>
        <v>327791</v>
      </c>
      <c r="E212" s="35">
        <f>E6+E19+E32+E45+E66+E79+E92+E105+E126+E139+E152+E165+E186+E199</f>
        <v>586785</v>
      </c>
      <c r="F212" s="35">
        <f>F6+F19+F32+F45+F66+F79+F92+F105+F126+F139+F152+F165+F186+F199</f>
        <v>935357</v>
      </c>
      <c r="G212" s="35">
        <f>G6+G19+G32+G45+G66+G79+G92+G105+G126+G139+G152+G165+G186+G199</f>
        <v>430502</v>
      </c>
      <c r="H212" s="109">
        <f aca="true" t="shared" si="28" ref="H212:H222">SUM(B212:G212)</f>
        <v>7736892</v>
      </c>
    </row>
    <row r="213" spans="1:8" s="3" customFormat="1" ht="12.75" customHeight="1">
      <c r="A213" s="101" t="s">
        <v>14</v>
      </c>
      <c r="B213" s="35">
        <f>B7+B20+B33+B46+B67+B80+B93+B106+B127+B140+B153+B166+B187+B200</f>
        <v>1227974</v>
      </c>
      <c r="C213" s="35">
        <f>C7+C20+C33+C46+C67+C80+C93+C106+C127+C140+C153+C166+C187+C200</f>
        <v>5540720</v>
      </c>
      <c r="D213" s="35">
        <f>D7+D20+D33+D46+D67+D80+D93+D106+D127+D140+D153+D166+D187+D200</f>
        <v>185518</v>
      </c>
      <c r="E213" s="35">
        <f>E7+E20+E33+E46+E67+E80+E93+E106+E127+E140+E153+E166+E187+E200</f>
        <v>846738</v>
      </c>
      <c r="F213" s="35">
        <f>F7+F20+F33+F46+F67+F80+F93+F106+F127+F140+F153+F166+F187+F200</f>
        <v>1136439</v>
      </c>
      <c r="G213" s="35">
        <f>G7+G20+G33+G46+G67+G80+G93+G106+G127+G140+G153+G166+G187+G200</f>
        <v>528653</v>
      </c>
      <c r="H213" s="109">
        <f t="shared" si="28"/>
        <v>9466042</v>
      </c>
    </row>
    <row r="214" spans="1:8" s="3" customFormat="1" ht="12.75" customHeight="1">
      <c r="A214" s="101" t="s">
        <v>15</v>
      </c>
      <c r="B214" s="35">
        <f>B8+B21+B34+B47+B68+B81+B94+B107+B128+B141+B154+B167+B188+B201</f>
        <v>899790</v>
      </c>
      <c r="C214" s="35">
        <f>C8+C21+C34+C47+C68+C81+C94+C107+C128+C141+C154+C167+C188+C201</f>
        <v>5559139</v>
      </c>
      <c r="D214" s="35">
        <f>D8+D21+D34+D47+D68+D81+D94+D107+D128+D141+D154+D167+D188+D201</f>
        <v>180939</v>
      </c>
      <c r="E214" s="35">
        <f>E8+E21+E34+E47+E68+E81+E94+E107+E128+E141+E154+E167+E188+E201</f>
        <v>780566</v>
      </c>
      <c r="F214" s="35">
        <f>F8+F21+F34+F47+F68+F81+F94+F107+F128+F141+F154+F167+F188+F201</f>
        <v>1077844</v>
      </c>
      <c r="G214" s="35">
        <f>G8+G21+G34+G47+G68+G81+G94+G107+G128+G141+G154+G167+G188+G201</f>
        <v>534624</v>
      </c>
      <c r="H214" s="109">
        <f t="shared" si="28"/>
        <v>9032902</v>
      </c>
    </row>
    <row r="215" spans="1:8" s="3" customFormat="1" ht="12.75" customHeight="1">
      <c r="A215" s="101" t="s">
        <v>16</v>
      </c>
      <c r="B215" s="35">
        <f>B9+B22+B35+B48+B69+B82+B95+B108+B129+B142+B155+B168+B189+B202</f>
        <v>1077830</v>
      </c>
      <c r="C215" s="35">
        <f>C9+C22+C35+C48+C69+C82+C95+C108+C129+C142+C155+C168+C189+C202</f>
        <v>6529741</v>
      </c>
      <c r="D215" s="35">
        <f>D9+D22+D35+D48+D69+D82+D95+D108+D129+D142+D155+D168+D189+D202</f>
        <v>178817</v>
      </c>
      <c r="E215" s="35">
        <f>E9+E22+E35+E48+E69+E82+E95+E108+E129+E142+E155+E168+E189+E202</f>
        <v>911372</v>
      </c>
      <c r="F215" s="35">
        <f>F9+F22+F35+F48+F69+F82+F95+F108+F129+F142+F155+F168+F189+F202</f>
        <v>1250575</v>
      </c>
      <c r="G215" s="35">
        <f>G9+G22+G35+G48+G69+G82+G95+G108+G129+G142+G155+G168+G189+G202</f>
        <v>628215</v>
      </c>
      <c r="H215" s="109">
        <f t="shared" si="28"/>
        <v>10576550</v>
      </c>
    </row>
    <row r="216" spans="1:8" s="3" customFormat="1" ht="12.75" customHeight="1">
      <c r="A216" s="101" t="s">
        <v>17</v>
      </c>
      <c r="B216" s="35">
        <f>B10+B23+B36+B49+B70+B83+B96+B109+B130+B143+B156+B169+B190+B203</f>
        <v>1303550</v>
      </c>
      <c r="C216" s="35">
        <f>C10+C23+C36+C49+C70+C83+C96+C109+C130+C143+C156+C169+C190+C203</f>
        <v>6380378</v>
      </c>
      <c r="D216" s="35">
        <f>D10+D23+D36+D49+D70+D83+D96+D109+D130+D143+D156+D169+D190+D203</f>
        <v>304926</v>
      </c>
      <c r="E216" s="35">
        <f>E10+E23+E36+E49+E70+E83+E96+E109+E130+E143+E156+E169+E190+E203</f>
        <v>998637</v>
      </c>
      <c r="F216" s="35">
        <f>F10+F23+F36+F49+F70+F83+F96+F109+F130+F143+F156+F169+F190+F203</f>
        <v>1372300</v>
      </c>
      <c r="G216" s="35">
        <f>G10+G23+G36+G49+G70+G83+G96+G109+G130+G143+G156+G169+G190+G203</f>
        <v>672343</v>
      </c>
      <c r="H216" s="109">
        <f t="shared" si="28"/>
        <v>11032134</v>
      </c>
    </row>
    <row r="217" spans="1:8" s="3" customFormat="1" ht="12.75" customHeight="1">
      <c r="A217" s="101" t="s">
        <v>18</v>
      </c>
      <c r="B217" s="35">
        <f>B11+B24+B37+B50+B71+B84+B97+B110+B131+B144+B157+B170+B191+B204</f>
        <v>807137</v>
      </c>
      <c r="C217" s="35">
        <f>C11+C24+C37+C50+C71+C84+C97+C110+C131+C144+C157+C170+C191+C204</f>
        <v>5492175</v>
      </c>
      <c r="D217" s="35">
        <f>D11+D24+D37+D50+D71+D84+D97+D110+D131+D144+D157+D170+D191+D204</f>
        <v>142332</v>
      </c>
      <c r="E217" s="35">
        <f>E11+E24+E37+E50+E71+E84+E97+E110+E131+E144+E157+E170+E191+E204</f>
        <v>914396</v>
      </c>
      <c r="F217" s="35">
        <f>F11+F24+F37+F50+F71+F84+F97+F110+F131+F144+F157+F170+F191+F204</f>
        <v>1095975</v>
      </c>
      <c r="G217" s="35">
        <f>G11+G24+G37+G50+G71+G84+G97+G110+G131+G144+G157+G170+G191+G204</f>
        <v>502984</v>
      </c>
      <c r="H217" s="109">
        <f t="shared" si="28"/>
        <v>8954999</v>
      </c>
    </row>
    <row r="218" spans="1:8" s="3" customFormat="1" ht="12.75" customHeight="1">
      <c r="A218" s="101" t="s">
        <v>19</v>
      </c>
      <c r="B218" s="35">
        <f>B12+B25+B38+B51+B72+B85+B98+B111+B132+B145+B158+B171+B192+B205</f>
        <v>1133086</v>
      </c>
      <c r="C218" s="35">
        <f>C12+C25+C38+C51+C72+C85+C98+C111+C132+C145+C158+C171+C192+C205</f>
        <v>5019740</v>
      </c>
      <c r="D218" s="35">
        <f>D12+D25+D38+D51+D72+D85+D98+D111+D132+D145+D158+D171+D192+D205</f>
        <v>126956</v>
      </c>
      <c r="E218" s="35">
        <f>E12+E25+E38+E51+E72+E85+E98+E111+E132+E145+E158+E171+E192+E205</f>
        <v>963948</v>
      </c>
      <c r="F218" s="35">
        <f>F12+F25+F38+F51+F72+F85+F98+F111+F132+F145+F158+F171+F192+F205</f>
        <v>1248998</v>
      </c>
      <c r="G218" s="35">
        <f>G12+G25+G38+G51+G72+G85+G98+G111+G132+G145+G158+G171+G192+G205</f>
        <v>612112</v>
      </c>
      <c r="H218" s="109">
        <f t="shared" si="28"/>
        <v>9104840</v>
      </c>
    </row>
    <row r="219" spans="1:8" s="3" customFormat="1" ht="12.75" customHeight="1">
      <c r="A219" s="101" t="s">
        <v>20</v>
      </c>
      <c r="B219" s="35">
        <f>B13+B26+B39+B52+B73+B86+B99+B112+B133+B146+B159+B172+B193+B206</f>
        <v>1867708</v>
      </c>
      <c r="C219" s="35">
        <f>C13+C26+C39+C52+C73+C86+C99+C112+C133+C146+C159+C172+C193+C206</f>
        <v>5439794</v>
      </c>
      <c r="D219" s="35">
        <f>D13+D26+D39+D52+D73+D86+D99+D112+D133+D146+D159+D172+D193+D206</f>
        <v>137784</v>
      </c>
      <c r="E219" s="35">
        <f>E13+E26+E39+E52+E73+E86+E99+E112+E133+E146+E159+E172+E193+E206</f>
        <v>879297</v>
      </c>
      <c r="F219" s="35">
        <f>F13+F26+F39+F52+F73+F86+F99+F112+F133+F146+F159+F172+F193+F206</f>
        <v>1325970</v>
      </c>
      <c r="G219" s="35">
        <f>G13+G26+G39+G52+G73+G86+G99+G112+G133+G146+G159+G172+G193+G206</f>
        <v>630743</v>
      </c>
      <c r="H219" s="109">
        <f t="shared" si="28"/>
        <v>10281296</v>
      </c>
    </row>
    <row r="220" spans="1:8" s="3" customFormat="1" ht="12.75" customHeight="1">
      <c r="A220" s="101" t="s">
        <v>21</v>
      </c>
      <c r="B220" s="35">
        <f>B14+B27+B40+B53+B74+B87+B100+B113+B134+B147+B160+B173+B194+B207</f>
        <v>1082471</v>
      </c>
      <c r="C220" s="35">
        <f>C14+C27+C40+C53+C74+C87+C100+C113+C134+C147+C160+C173+C194+C207</f>
        <v>5366861</v>
      </c>
      <c r="D220" s="35">
        <f>D14+D27+D40+D53+D74+D87+D100+D113+D134+D147+D160+D173+D194+D207</f>
        <v>231469</v>
      </c>
      <c r="E220" s="35">
        <f>E14+E27+E40+E53+E74+E87+E100+E113+E134+E147+E160+E173+E194+E207</f>
        <v>897296</v>
      </c>
      <c r="F220" s="35">
        <f>F14+F27+F40+F53+F74+F87+F100+F113+F134+F147+F160+F173+F194+F207</f>
        <v>1246656</v>
      </c>
      <c r="G220" s="35">
        <f>G14+G27+G40+G53+G74+G87+G100+G113+G134+G147+G160+G173+G194+G207</f>
        <v>644022</v>
      </c>
      <c r="H220" s="109">
        <f t="shared" si="28"/>
        <v>9468775</v>
      </c>
    </row>
    <row r="221" spans="1:8" s="3" customFormat="1" ht="12.75" customHeight="1">
      <c r="A221" s="101" t="s">
        <v>22</v>
      </c>
      <c r="B221" s="35">
        <f>B15+B28+B41+B54+B75+B88+B101+B114+B135+B148+B161+B174+B195+B208</f>
        <v>1018073</v>
      </c>
      <c r="C221" s="35">
        <f>C15+C28+C41+C54+C75+C88+C101+C114+C135+C148+C161+C174+C195+C208</f>
        <v>5018225</v>
      </c>
      <c r="D221" s="35">
        <f>D15+D28+D41+D54+D75+D88+D101+D114+D135+D148+D161+D174+D195+D208</f>
        <v>130585</v>
      </c>
      <c r="E221" s="35">
        <f>E15+E28+E41+E54+E75+E88+E101+E114+E135+E148+E161+E174+E195+E208</f>
        <v>638988</v>
      </c>
      <c r="F221" s="35">
        <f>F15+F28+F41+F54+F75+F88+F101+F114+F135+F148+F161+F174+F195+F208</f>
        <v>1103190</v>
      </c>
      <c r="G221" s="35">
        <f>G15+G28+G41+G54+G75+G88+G101+G114+G135+G148+G161+G174+G195+G208</f>
        <v>526617</v>
      </c>
      <c r="H221" s="109">
        <f t="shared" si="28"/>
        <v>8435678</v>
      </c>
    </row>
    <row r="222" spans="1:8" s="3" customFormat="1" ht="12.75" customHeight="1" thickBot="1">
      <c r="A222" s="98" t="s">
        <v>23</v>
      </c>
      <c r="B222" s="50">
        <f>B16+B29+B42+B55+B76+B89+B102+B115+B136+B149+B162+B175+B196+B209</f>
        <v>2436451</v>
      </c>
      <c r="C222" s="50">
        <f>C16+C29+C42+C55+C76+C89+C102+C115+C136+C149+C162+C175+C196+C209</f>
        <v>11698513</v>
      </c>
      <c r="D222" s="50">
        <f>D16+D29+D42+D55+D76+D89+D102+D115+D136+D149+D162+D175+D196+D209</f>
        <v>359435</v>
      </c>
      <c r="E222" s="50">
        <f>E16+E29+E42+E55+E76+E89+E102+E115+E136+E149+E162+E175+E196+E209</f>
        <v>1420670</v>
      </c>
      <c r="F222" s="50">
        <f>F16+F29+F42+F55+F76+F89+F102+F115+F136+F149+F162+F175+F196+F209</f>
        <v>2040185</v>
      </c>
      <c r="G222" s="50">
        <f>G16+G29+G42+G55+G76+G89+G102+G115+G136+G149+G162+G175+G196+G209</f>
        <v>940847</v>
      </c>
      <c r="H222" s="110">
        <f t="shared" si="28"/>
        <v>18896101</v>
      </c>
    </row>
    <row r="223" spans="1:8" s="3" customFormat="1" ht="12.75" customHeight="1" thickBot="1">
      <c r="A223" s="30" t="s">
        <v>60</v>
      </c>
      <c r="B223" s="52">
        <f>B17+B30+B43+B56+B77+B90+B103+B116+B137+B150+B163+B176+B197+B210</f>
        <v>14569041</v>
      </c>
      <c r="C223" s="52">
        <f>C17+C30+C43+C56+C77+C90+C103+C116+C137+C150+C163+C176+C197+C210</f>
        <v>69454349</v>
      </c>
      <c r="D223" s="52">
        <f>D17+D30+D43+D56+D77+D90+D103+D116+D137+D150+D163+D176+D197+D210</f>
        <v>2463466</v>
      </c>
      <c r="E223" s="52">
        <f>E17+E30+E43+E56+E77+E90+E103+E116+E137+E150+E163+E176+E197+E210</f>
        <v>10195366</v>
      </c>
      <c r="F223" s="52">
        <f>F17+F30+F43+F56+F77+F90+F103+F116+F137+F150+F163+F176+F197+F210</f>
        <v>14529057</v>
      </c>
      <c r="G223" s="52">
        <f>G17+G30+G43+G56+G77+G90+G103+G116+G137+G150+G163+G176+G197+G210</f>
        <v>6942367</v>
      </c>
      <c r="H223" s="52">
        <f>H17+H30+H43+H56+H77+H90+H103+H116+H137+H150+H163+H176+H197+H210</f>
        <v>118153646</v>
      </c>
    </row>
    <row r="224" spans="1:6" s="3" customFormat="1" ht="12.75">
      <c r="A224" s="107" t="s">
        <v>93</v>
      </c>
      <c r="F224" s="107" t="s">
        <v>11</v>
      </c>
    </row>
  </sheetData>
  <sheetProtection/>
  <mergeCells count="4">
    <mergeCell ref="B183:H183"/>
    <mergeCell ref="B3:H3"/>
    <mergeCell ref="B63:H63"/>
    <mergeCell ref="B123:H123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2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160" customWidth="1"/>
    <col min="2" max="8" width="12.421875" style="1" customWidth="1"/>
    <col min="9" max="16384" width="9.140625" style="1" customWidth="1"/>
  </cols>
  <sheetData>
    <row r="1" spans="1:8" s="3" customFormat="1" ht="19.5" customHeight="1">
      <c r="A1" s="176" t="s">
        <v>167</v>
      </c>
      <c r="B1" s="176"/>
      <c r="C1" s="176"/>
      <c r="D1" s="176"/>
      <c r="E1" s="176"/>
      <c r="F1" s="176"/>
      <c r="G1" s="176"/>
      <c r="H1" s="176"/>
    </row>
    <row r="2" spans="1:2" s="3" customFormat="1" ht="6.75" customHeight="1" thickBot="1">
      <c r="A2" s="11"/>
      <c r="B2" s="15"/>
    </row>
    <row r="3" spans="1:8" s="3" customFormat="1" ht="13.5" customHeight="1" thickBot="1">
      <c r="A3" s="11"/>
      <c r="B3" s="265" t="s">
        <v>46</v>
      </c>
      <c r="C3" s="265"/>
      <c r="D3" s="265"/>
      <c r="E3" s="265"/>
      <c r="F3" s="265"/>
      <c r="G3" s="265"/>
      <c r="H3" s="265"/>
    </row>
    <row r="4" spans="1:8" s="3" customFormat="1" ht="21.75" thickBot="1">
      <c r="A4" s="107"/>
      <c r="B4" s="175" t="s">
        <v>25</v>
      </c>
      <c r="C4" s="175" t="s">
        <v>34</v>
      </c>
      <c r="D4" s="175" t="s">
        <v>26</v>
      </c>
      <c r="E4" s="175" t="s">
        <v>28</v>
      </c>
      <c r="F4" s="175" t="s">
        <v>29</v>
      </c>
      <c r="G4" s="175" t="s">
        <v>30</v>
      </c>
      <c r="H4" s="175" t="s">
        <v>0</v>
      </c>
    </row>
    <row r="5" spans="1:8" s="3" customFormat="1" ht="12.75" customHeight="1">
      <c r="A5" s="97" t="s">
        <v>12</v>
      </c>
      <c r="B5" s="39">
        <v>211</v>
      </c>
      <c r="C5" s="39">
        <v>720</v>
      </c>
      <c r="D5" s="39">
        <v>19</v>
      </c>
      <c r="E5" s="39">
        <v>112</v>
      </c>
      <c r="F5" s="39">
        <v>132</v>
      </c>
      <c r="G5" s="155">
        <v>104</v>
      </c>
      <c r="H5" s="156">
        <f aca="true" t="shared" si="0" ref="H5:H16">SUM(B5:G5)</f>
        <v>1298</v>
      </c>
    </row>
    <row r="6" spans="1:8" s="3" customFormat="1" ht="12.75" customHeight="1">
      <c r="A6" s="101" t="s">
        <v>13</v>
      </c>
      <c r="B6" s="35">
        <v>204</v>
      </c>
      <c r="C6" s="35">
        <v>1013</v>
      </c>
      <c r="D6" s="35">
        <v>17</v>
      </c>
      <c r="E6" s="35">
        <v>182</v>
      </c>
      <c r="F6" s="35">
        <v>172</v>
      </c>
      <c r="G6" s="157">
        <v>125</v>
      </c>
      <c r="H6" s="24">
        <f t="shared" si="0"/>
        <v>1713</v>
      </c>
    </row>
    <row r="7" spans="1:8" s="3" customFormat="1" ht="12.75" customHeight="1">
      <c r="A7" s="101" t="s">
        <v>14</v>
      </c>
      <c r="B7" s="35">
        <v>72</v>
      </c>
      <c r="C7" s="35">
        <v>1249</v>
      </c>
      <c r="D7" s="35">
        <v>19</v>
      </c>
      <c r="E7" s="35">
        <v>283</v>
      </c>
      <c r="F7" s="35">
        <v>191</v>
      </c>
      <c r="G7" s="157">
        <v>97</v>
      </c>
      <c r="H7" s="24">
        <f t="shared" si="0"/>
        <v>1911</v>
      </c>
    </row>
    <row r="8" spans="1:8" s="3" customFormat="1" ht="12.75" customHeight="1">
      <c r="A8" s="101" t="s">
        <v>15</v>
      </c>
      <c r="B8" s="35">
        <v>45</v>
      </c>
      <c r="C8" s="35">
        <v>652</v>
      </c>
      <c r="D8" s="35">
        <v>13</v>
      </c>
      <c r="E8" s="35">
        <v>135</v>
      </c>
      <c r="F8" s="35">
        <v>93</v>
      </c>
      <c r="G8" s="157">
        <v>47</v>
      </c>
      <c r="H8" s="24">
        <f t="shared" si="0"/>
        <v>985</v>
      </c>
    </row>
    <row r="9" spans="1:8" s="3" customFormat="1" ht="12.75" customHeight="1">
      <c r="A9" s="101" t="s">
        <v>16</v>
      </c>
      <c r="B9" s="35">
        <v>49</v>
      </c>
      <c r="C9" s="35">
        <v>985</v>
      </c>
      <c r="D9" s="35">
        <v>17</v>
      </c>
      <c r="E9" s="35">
        <v>178</v>
      </c>
      <c r="F9" s="35">
        <v>172</v>
      </c>
      <c r="G9" s="157">
        <v>69</v>
      </c>
      <c r="H9" s="24">
        <f t="shared" si="0"/>
        <v>1470</v>
      </c>
    </row>
    <row r="10" spans="1:8" s="3" customFormat="1" ht="12.75" customHeight="1">
      <c r="A10" s="101" t="s">
        <v>17</v>
      </c>
      <c r="B10" s="35">
        <v>61</v>
      </c>
      <c r="C10" s="35">
        <v>834</v>
      </c>
      <c r="D10" s="35">
        <v>17</v>
      </c>
      <c r="E10" s="35">
        <v>152</v>
      </c>
      <c r="F10" s="35">
        <v>189</v>
      </c>
      <c r="G10" s="157">
        <v>80</v>
      </c>
      <c r="H10" s="24">
        <f t="shared" si="0"/>
        <v>1333</v>
      </c>
    </row>
    <row r="11" spans="1:8" s="3" customFormat="1" ht="12.75" customHeight="1">
      <c r="A11" s="101" t="s">
        <v>18</v>
      </c>
      <c r="B11" s="35">
        <v>49</v>
      </c>
      <c r="C11" s="35">
        <v>906</v>
      </c>
      <c r="D11" s="35">
        <v>18</v>
      </c>
      <c r="E11" s="35">
        <v>181</v>
      </c>
      <c r="F11" s="35">
        <v>202</v>
      </c>
      <c r="G11" s="157">
        <v>107</v>
      </c>
      <c r="H11" s="24">
        <f t="shared" si="0"/>
        <v>1463</v>
      </c>
    </row>
    <row r="12" spans="1:8" s="3" customFormat="1" ht="12.75" customHeight="1">
      <c r="A12" s="101" t="s">
        <v>19</v>
      </c>
      <c r="B12" s="35">
        <v>64</v>
      </c>
      <c r="C12" s="35">
        <v>856</v>
      </c>
      <c r="D12" s="35">
        <v>12</v>
      </c>
      <c r="E12" s="35">
        <v>217</v>
      </c>
      <c r="F12" s="35">
        <v>209</v>
      </c>
      <c r="G12" s="157">
        <v>107</v>
      </c>
      <c r="H12" s="24">
        <f t="shared" si="0"/>
        <v>1465</v>
      </c>
    </row>
    <row r="13" spans="1:8" s="3" customFormat="1" ht="12.75" customHeight="1">
      <c r="A13" s="101" t="s">
        <v>20</v>
      </c>
      <c r="B13" s="35">
        <v>48</v>
      </c>
      <c r="C13" s="35">
        <v>856</v>
      </c>
      <c r="D13" s="35">
        <v>15</v>
      </c>
      <c r="E13" s="35">
        <v>195</v>
      </c>
      <c r="F13" s="35">
        <v>161</v>
      </c>
      <c r="G13" s="157">
        <v>110</v>
      </c>
      <c r="H13" s="24">
        <f t="shared" si="0"/>
        <v>1385</v>
      </c>
    </row>
    <row r="14" spans="1:8" s="3" customFormat="1" ht="12.75" customHeight="1">
      <c r="A14" s="101" t="s">
        <v>21</v>
      </c>
      <c r="B14" s="35">
        <v>50</v>
      </c>
      <c r="C14" s="35">
        <v>914</v>
      </c>
      <c r="D14" s="35">
        <v>20</v>
      </c>
      <c r="E14" s="35">
        <v>149</v>
      </c>
      <c r="F14" s="35">
        <v>241</v>
      </c>
      <c r="G14" s="157">
        <v>111</v>
      </c>
      <c r="H14" s="24">
        <f t="shared" si="0"/>
        <v>1485</v>
      </c>
    </row>
    <row r="15" spans="1:8" s="3" customFormat="1" ht="12.75" customHeight="1">
      <c r="A15" s="101" t="s">
        <v>22</v>
      </c>
      <c r="B15" s="35">
        <v>40</v>
      </c>
      <c r="C15" s="35">
        <v>606</v>
      </c>
      <c r="D15" s="35">
        <v>16</v>
      </c>
      <c r="E15" s="35">
        <v>108</v>
      </c>
      <c r="F15" s="35">
        <v>169</v>
      </c>
      <c r="G15" s="157">
        <v>95</v>
      </c>
      <c r="H15" s="24">
        <f t="shared" si="0"/>
        <v>1034</v>
      </c>
    </row>
    <row r="16" spans="1:8" s="3" customFormat="1" ht="12.75" customHeight="1" thickBot="1">
      <c r="A16" s="98" t="s">
        <v>23</v>
      </c>
      <c r="B16" s="36">
        <v>74</v>
      </c>
      <c r="C16" s="36">
        <v>1156</v>
      </c>
      <c r="D16" s="36">
        <v>26</v>
      </c>
      <c r="E16" s="36">
        <v>188</v>
      </c>
      <c r="F16" s="36">
        <v>294</v>
      </c>
      <c r="G16" s="158">
        <v>153</v>
      </c>
      <c r="H16" s="159">
        <f t="shared" si="0"/>
        <v>1891</v>
      </c>
    </row>
    <row r="17" spans="1:8" s="3" customFormat="1" ht="12.75" customHeight="1" thickBot="1">
      <c r="A17" s="30" t="s">
        <v>47</v>
      </c>
      <c r="B17" s="52">
        <f aca="true" t="shared" si="1" ref="B17:H17">SUM(B5:B16)</f>
        <v>967</v>
      </c>
      <c r="C17" s="52">
        <f t="shared" si="1"/>
        <v>10747</v>
      </c>
      <c r="D17" s="52">
        <f t="shared" si="1"/>
        <v>209</v>
      </c>
      <c r="E17" s="52">
        <f t="shared" si="1"/>
        <v>2080</v>
      </c>
      <c r="F17" s="52">
        <f t="shared" si="1"/>
        <v>2225</v>
      </c>
      <c r="G17" s="52">
        <f t="shared" si="1"/>
        <v>1205</v>
      </c>
      <c r="H17" s="52">
        <f t="shared" si="1"/>
        <v>17433</v>
      </c>
    </row>
    <row r="18" spans="1:8" s="3" customFormat="1" ht="12.75" customHeight="1">
      <c r="A18" s="97" t="s">
        <v>12</v>
      </c>
      <c r="B18" s="39">
        <v>25</v>
      </c>
      <c r="C18" s="39">
        <v>533</v>
      </c>
      <c r="D18" s="39">
        <v>15</v>
      </c>
      <c r="E18" s="39">
        <v>139</v>
      </c>
      <c r="F18" s="39">
        <v>155</v>
      </c>
      <c r="G18" s="155">
        <v>81</v>
      </c>
      <c r="H18" s="156">
        <f aca="true" t="shared" si="2" ref="H18:H29">SUM(B18:G18)</f>
        <v>948</v>
      </c>
    </row>
    <row r="19" spans="1:8" s="3" customFormat="1" ht="12.75" customHeight="1">
      <c r="A19" s="101" t="s">
        <v>13</v>
      </c>
      <c r="B19" s="35">
        <v>36</v>
      </c>
      <c r="C19" s="35">
        <v>548</v>
      </c>
      <c r="D19" s="35">
        <v>12</v>
      </c>
      <c r="E19" s="35">
        <v>118</v>
      </c>
      <c r="F19" s="35">
        <v>144</v>
      </c>
      <c r="G19" s="157">
        <v>91</v>
      </c>
      <c r="H19" s="24">
        <f t="shared" si="2"/>
        <v>949</v>
      </c>
    </row>
    <row r="20" spans="1:8" s="3" customFormat="1" ht="12.75" customHeight="1">
      <c r="A20" s="101" t="s">
        <v>14</v>
      </c>
      <c r="B20" s="35">
        <v>39</v>
      </c>
      <c r="C20" s="35">
        <v>645</v>
      </c>
      <c r="D20" s="35">
        <v>15</v>
      </c>
      <c r="E20" s="35">
        <v>200</v>
      </c>
      <c r="F20" s="35">
        <v>204</v>
      </c>
      <c r="G20" s="157">
        <v>107</v>
      </c>
      <c r="H20" s="24">
        <f t="shared" si="2"/>
        <v>1210</v>
      </c>
    </row>
    <row r="21" spans="1:8" s="3" customFormat="1" ht="12.75" customHeight="1">
      <c r="A21" s="101" t="s">
        <v>15</v>
      </c>
      <c r="B21" s="35">
        <v>43</v>
      </c>
      <c r="C21" s="35">
        <v>684</v>
      </c>
      <c r="D21" s="35">
        <v>12</v>
      </c>
      <c r="E21" s="35">
        <v>150</v>
      </c>
      <c r="F21" s="35">
        <v>213</v>
      </c>
      <c r="G21" s="157">
        <v>84</v>
      </c>
      <c r="H21" s="24">
        <f t="shared" si="2"/>
        <v>1186</v>
      </c>
    </row>
    <row r="22" spans="1:8" s="3" customFormat="1" ht="12.75" customHeight="1">
      <c r="A22" s="101" t="s">
        <v>16</v>
      </c>
      <c r="B22" s="35">
        <v>48</v>
      </c>
      <c r="C22" s="35">
        <v>731</v>
      </c>
      <c r="D22" s="35">
        <v>33</v>
      </c>
      <c r="E22" s="35">
        <v>210</v>
      </c>
      <c r="F22" s="35">
        <v>241</v>
      </c>
      <c r="G22" s="157">
        <v>101</v>
      </c>
      <c r="H22" s="24">
        <f t="shared" si="2"/>
        <v>1364</v>
      </c>
    </row>
    <row r="23" spans="1:8" s="3" customFormat="1" ht="12.75" customHeight="1">
      <c r="A23" s="101" t="s">
        <v>17</v>
      </c>
      <c r="B23" s="35">
        <v>63</v>
      </c>
      <c r="C23" s="35">
        <v>777</v>
      </c>
      <c r="D23" s="35">
        <v>19</v>
      </c>
      <c r="E23" s="35">
        <v>229</v>
      </c>
      <c r="F23" s="35">
        <v>195</v>
      </c>
      <c r="G23" s="157">
        <v>139</v>
      </c>
      <c r="H23" s="24">
        <f t="shared" si="2"/>
        <v>1422</v>
      </c>
    </row>
    <row r="24" spans="1:8" s="3" customFormat="1" ht="12.75" customHeight="1">
      <c r="A24" s="101" t="s">
        <v>18</v>
      </c>
      <c r="B24" s="35">
        <v>52</v>
      </c>
      <c r="C24" s="35">
        <v>780</v>
      </c>
      <c r="D24" s="35">
        <v>34</v>
      </c>
      <c r="E24" s="35">
        <v>208</v>
      </c>
      <c r="F24" s="35">
        <v>246</v>
      </c>
      <c r="G24" s="157">
        <v>174</v>
      </c>
      <c r="H24" s="24">
        <f t="shared" si="2"/>
        <v>1494</v>
      </c>
    </row>
    <row r="25" spans="1:8" s="3" customFormat="1" ht="12.75" customHeight="1">
      <c r="A25" s="101" t="s">
        <v>19</v>
      </c>
      <c r="B25" s="35">
        <v>39</v>
      </c>
      <c r="C25" s="35">
        <v>710</v>
      </c>
      <c r="D25" s="35">
        <v>29</v>
      </c>
      <c r="E25" s="35">
        <v>228</v>
      </c>
      <c r="F25" s="35">
        <v>245</v>
      </c>
      <c r="G25" s="157">
        <v>118</v>
      </c>
      <c r="H25" s="24">
        <f t="shared" si="2"/>
        <v>1369</v>
      </c>
    </row>
    <row r="26" spans="1:8" s="3" customFormat="1" ht="12.75" customHeight="1">
      <c r="A26" s="101" t="s">
        <v>20</v>
      </c>
      <c r="B26" s="35">
        <v>43</v>
      </c>
      <c r="C26" s="35">
        <v>749</v>
      </c>
      <c r="D26" s="35">
        <v>29</v>
      </c>
      <c r="E26" s="35">
        <v>250</v>
      </c>
      <c r="F26" s="35">
        <v>258</v>
      </c>
      <c r="G26" s="157">
        <v>139</v>
      </c>
      <c r="H26" s="24">
        <f t="shared" si="2"/>
        <v>1468</v>
      </c>
    </row>
    <row r="27" spans="1:8" s="3" customFormat="1" ht="12.75" customHeight="1">
      <c r="A27" s="101" t="s">
        <v>21</v>
      </c>
      <c r="B27" s="35">
        <v>44</v>
      </c>
      <c r="C27" s="35">
        <v>687</v>
      </c>
      <c r="D27" s="35">
        <v>27</v>
      </c>
      <c r="E27" s="35">
        <v>187</v>
      </c>
      <c r="F27" s="35">
        <v>233</v>
      </c>
      <c r="G27" s="157">
        <v>136</v>
      </c>
      <c r="H27" s="24">
        <f t="shared" si="2"/>
        <v>1314</v>
      </c>
    </row>
    <row r="28" spans="1:8" s="3" customFormat="1" ht="12.75" customHeight="1">
      <c r="A28" s="101" t="s">
        <v>22</v>
      </c>
      <c r="B28" s="35">
        <v>42</v>
      </c>
      <c r="C28" s="35">
        <v>644</v>
      </c>
      <c r="D28" s="35">
        <v>24</v>
      </c>
      <c r="E28" s="35">
        <v>130</v>
      </c>
      <c r="F28" s="35">
        <v>168</v>
      </c>
      <c r="G28" s="157">
        <v>122</v>
      </c>
      <c r="H28" s="24">
        <f t="shared" si="2"/>
        <v>1130</v>
      </c>
    </row>
    <row r="29" spans="1:8" s="3" customFormat="1" ht="12.75" customHeight="1" thickBot="1">
      <c r="A29" s="98" t="s">
        <v>23</v>
      </c>
      <c r="B29" s="36">
        <v>54</v>
      </c>
      <c r="C29" s="36">
        <v>909</v>
      </c>
      <c r="D29" s="36">
        <v>22</v>
      </c>
      <c r="E29" s="36">
        <v>164</v>
      </c>
      <c r="F29" s="36">
        <v>322</v>
      </c>
      <c r="G29" s="158">
        <v>138</v>
      </c>
      <c r="H29" s="159">
        <f t="shared" si="2"/>
        <v>1609</v>
      </c>
    </row>
    <row r="30" spans="1:8" s="3" customFormat="1" ht="12.75" customHeight="1" thickBot="1">
      <c r="A30" s="30" t="s">
        <v>48</v>
      </c>
      <c r="B30" s="52">
        <f>SUM(B18:B29)</f>
        <v>528</v>
      </c>
      <c r="C30" s="52">
        <f aca="true" t="shared" si="3" ref="C30:H30">SUM(C18:C29)</f>
        <v>8397</v>
      </c>
      <c r="D30" s="52">
        <f t="shared" si="3"/>
        <v>271</v>
      </c>
      <c r="E30" s="52">
        <f>SUM(E18:E29)</f>
        <v>2213</v>
      </c>
      <c r="F30" s="52">
        <f t="shared" si="3"/>
        <v>2624</v>
      </c>
      <c r="G30" s="52">
        <f t="shared" si="3"/>
        <v>1430</v>
      </c>
      <c r="H30" s="52">
        <f t="shared" si="3"/>
        <v>15463</v>
      </c>
    </row>
    <row r="31" spans="1:8" s="3" customFormat="1" ht="12.75" customHeight="1">
      <c r="A31" s="97" t="s">
        <v>12</v>
      </c>
      <c r="B31" s="39">
        <v>31</v>
      </c>
      <c r="C31" s="39">
        <v>370</v>
      </c>
      <c r="D31" s="39">
        <v>21</v>
      </c>
      <c r="E31" s="39">
        <v>55</v>
      </c>
      <c r="F31" s="39">
        <v>116</v>
      </c>
      <c r="G31" s="155">
        <v>54</v>
      </c>
      <c r="H31" s="156">
        <f aca="true" t="shared" si="4" ref="H31:H42">SUM(B31:G31)</f>
        <v>647</v>
      </c>
    </row>
    <row r="32" spans="1:8" s="3" customFormat="1" ht="12.75" customHeight="1">
      <c r="A32" s="101" t="s">
        <v>13</v>
      </c>
      <c r="B32" s="35">
        <v>44</v>
      </c>
      <c r="C32" s="35">
        <v>536</v>
      </c>
      <c r="D32" s="35">
        <v>27</v>
      </c>
      <c r="E32" s="35">
        <v>106</v>
      </c>
      <c r="F32" s="35">
        <v>186</v>
      </c>
      <c r="G32" s="157">
        <v>70</v>
      </c>
      <c r="H32" s="24">
        <f t="shared" si="4"/>
        <v>969</v>
      </c>
    </row>
    <row r="33" spans="1:8" s="3" customFormat="1" ht="12.75" customHeight="1">
      <c r="A33" s="101" t="s">
        <v>14</v>
      </c>
      <c r="B33" s="35">
        <v>43</v>
      </c>
      <c r="C33" s="35">
        <v>599</v>
      </c>
      <c r="D33" s="35">
        <v>28</v>
      </c>
      <c r="E33" s="35">
        <v>202</v>
      </c>
      <c r="F33" s="35">
        <v>192</v>
      </c>
      <c r="G33" s="157">
        <v>119</v>
      </c>
      <c r="H33" s="24">
        <f t="shared" si="4"/>
        <v>1183</v>
      </c>
    </row>
    <row r="34" spans="1:8" s="3" customFormat="1" ht="12.75" customHeight="1">
      <c r="A34" s="101" t="s">
        <v>15</v>
      </c>
      <c r="B34" s="35">
        <v>32</v>
      </c>
      <c r="C34" s="35">
        <v>495</v>
      </c>
      <c r="D34" s="35">
        <v>25</v>
      </c>
      <c r="E34" s="35">
        <v>153</v>
      </c>
      <c r="F34" s="35">
        <v>149</v>
      </c>
      <c r="G34" s="157">
        <v>80</v>
      </c>
      <c r="H34" s="24">
        <f t="shared" si="4"/>
        <v>934</v>
      </c>
    </row>
    <row r="35" spans="1:8" s="3" customFormat="1" ht="12.75" customHeight="1">
      <c r="A35" s="101" t="s">
        <v>16</v>
      </c>
      <c r="B35" s="35">
        <v>43</v>
      </c>
      <c r="C35" s="35">
        <v>624</v>
      </c>
      <c r="D35" s="35">
        <v>27</v>
      </c>
      <c r="E35" s="35">
        <v>179</v>
      </c>
      <c r="F35" s="35">
        <v>198</v>
      </c>
      <c r="G35" s="157">
        <v>79</v>
      </c>
      <c r="H35" s="24">
        <f t="shared" si="4"/>
        <v>1150</v>
      </c>
    </row>
    <row r="36" spans="1:8" s="3" customFormat="1" ht="12.75" customHeight="1">
      <c r="A36" s="101" t="s">
        <v>17</v>
      </c>
      <c r="B36" s="35">
        <v>43</v>
      </c>
      <c r="C36" s="35">
        <v>562</v>
      </c>
      <c r="D36" s="35">
        <v>20</v>
      </c>
      <c r="E36" s="35">
        <v>171</v>
      </c>
      <c r="F36" s="35">
        <v>132</v>
      </c>
      <c r="G36" s="157">
        <v>71</v>
      </c>
      <c r="H36" s="24">
        <f t="shared" si="4"/>
        <v>999</v>
      </c>
    </row>
    <row r="37" spans="1:8" s="3" customFormat="1" ht="12.75" customHeight="1">
      <c r="A37" s="101" t="s">
        <v>18</v>
      </c>
      <c r="B37" s="35">
        <v>43</v>
      </c>
      <c r="C37" s="35">
        <v>587</v>
      </c>
      <c r="D37" s="35">
        <v>29</v>
      </c>
      <c r="E37" s="35">
        <v>257</v>
      </c>
      <c r="F37" s="35">
        <v>156</v>
      </c>
      <c r="G37" s="157">
        <v>82</v>
      </c>
      <c r="H37" s="24">
        <f t="shared" si="4"/>
        <v>1154</v>
      </c>
    </row>
    <row r="38" spans="1:8" s="3" customFormat="1" ht="12.75" customHeight="1">
      <c r="A38" s="101" t="s">
        <v>19</v>
      </c>
      <c r="B38" s="35">
        <v>23</v>
      </c>
      <c r="C38" s="35">
        <v>538</v>
      </c>
      <c r="D38" s="35">
        <v>11</v>
      </c>
      <c r="E38" s="35">
        <v>152</v>
      </c>
      <c r="F38" s="35">
        <v>201</v>
      </c>
      <c r="G38" s="157">
        <v>101</v>
      </c>
      <c r="H38" s="24">
        <f t="shared" si="4"/>
        <v>1026</v>
      </c>
    </row>
    <row r="39" spans="1:8" s="3" customFormat="1" ht="12.75" customHeight="1">
      <c r="A39" s="101" t="s">
        <v>20</v>
      </c>
      <c r="B39" s="35">
        <v>47</v>
      </c>
      <c r="C39" s="35">
        <v>615</v>
      </c>
      <c r="D39" s="35">
        <v>24</v>
      </c>
      <c r="E39" s="35">
        <v>169</v>
      </c>
      <c r="F39" s="35">
        <v>216</v>
      </c>
      <c r="G39" s="157">
        <v>100</v>
      </c>
      <c r="H39" s="24">
        <f t="shared" si="4"/>
        <v>1171</v>
      </c>
    </row>
    <row r="40" spans="1:8" s="3" customFormat="1" ht="12.75" customHeight="1">
      <c r="A40" s="101" t="s">
        <v>21</v>
      </c>
      <c r="B40" s="35">
        <v>42</v>
      </c>
      <c r="C40" s="35">
        <v>567</v>
      </c>
      <c r="D40" s="35">
        <v>27</v>
      </c>
      <c r="E40" s="35">
        <v>193</v>
      </c>
      <c r="F40" s="35">
        <v>183</v>
      </c>
      <c r="G40" s="157">
        <v>104</v>
      </c>
      <c r="H40" s="24">
        <f t="shared" si="4"/>
        <v>1116</v>
      </c>
    </row>
    <row r="41" spans="1:8" s="3" customFormat="1" ht="12.75" customHeight="1">
      <c r="A41" s="101" t="s">
        <v>22</v>
      </c>
      <c r="B41" s="35">
        <v>49</v>
      </c>
      <c r="C41" s="35">
        <v>566</v>
      </c>
      <c r="D41" s="35">
        <v>28</v>
      </c>
      <c r="E41" s="35">
        <v>152</v>
      </c>
      <c r="F41" s="35">
        <v>166</v>
      </c>
      <c r="G41" s="157">
        <v>94</v>
      </c>
      <c r="H41" s="24">
        <f t="shared" si="4"/>
        <v>1055</v>
      </c>
    </row>
    <row r="42" spans="1:8" s="3" customFormat="1" ht="12.75" customHeight="1" thickBot="1">
      <c r="A42" s="98" t="s">
        <v>23</v>
      </c>
      <c r="B42" s="36">
        <v>55</v>
      </c>
      <c r="C42" s="36">
        <v>750</v>
      </c>
      <c r="D42" s="36">
        <v>19</v>
      </c>
      <c r="E42" s="36">
        <v>201</v>
      </c>
      <c r="F42" s="36">
        <v>221</v>
      </c>
      <c r="G42" s="158">
        <v>125</v>
      </c>
      <c r="H42" s="159">
        <f t="shared" si="4"/>
        <v>1371</v>
      </c>
    </row>
    <row r="43" spans="1:8" s="3" customFormat="1" ht="12.75" customHeight="1" thickBot="1">
      <c r="A43" s="30" t="s">
        <v>49</v>
      </c>
      <c r="B43" s="52">
        <f>SUM(B31:B42)</f>
        <v>495</v>
      </c>
      <c r="C43" s="52">
        <f aca="true" t="shared" si="5" ref="C43:H43">SUM(C31:C42)</f>
        <v>6809</v>
      </c>
      <c r="D43" s="52">
        <f t="shared" si="5"/>
        <v>286</v>
      </c>
      <c r="E43" s="52">
        <f>SUM(E31:E42)</f>
        <v>1990</v>
      </c>
      <c r="F43" s="52">
        <f t="shared" si="5"/>
        <v>2116</v>
      </c>
      <c r="G43" s="52">
        <f t="shared" si="5"/>
        <v>1079</v>
      </c>
      <c r="H43" s="52">
        <f t="shared" si="5"/>
        <v>12775</v>
      </c>
    </row>
    <row r="44" spans="1:8" s="3" customFormat="1" ht="12.75" customHeight="1">
      <c r="A44" s="97" t="s">
        <v>12</v>
      </c>
      <c r="B44" s="39">
        <v>28</v>
      </c>
      <c r="C44" s="39">
        <v>305</v>
      </c>
      <c r="D44" s="39">
        <v>12</v>
      </c>
      <c r="E44" s="39">
        <v>55</v>
      </c>
      <c r="F44" s="39">
        <v>92</v>
      </c>
      <c r="G44" s="155">
        <v>47</v>
      </c>
      <c r="H44" s="156">
        <f aca="true" t="shared" si="6" ref="H44:H55">SUM(B44:G44)</f>
        <v>539</v>
      </c>
    </row>
    <row r="45" spans="1:8" s="3" customFormat="1" ht="12.75" customHeight="1">
      <c r="A45" s="101" t="s">
        <v>13</v>
      </c>
      <c r="B45" s="35">
        <v>29</v>
      </c>
      <c r="C45" s="35">
        <v>580</v>
      </c>
      <c r="D45" s="35">
        <v>30</v>
      </c>
      <c r="E45" s="35">
        <v>148</v>
      </c>
      <c r="F45" s="35">
        <v>198</v>
      </c>
      <c r="G45" s="157">
        <v>100</v>
      </c>
      <c r="H45" s="24">
        <f t="shared" si="6"/>
        <v>1085</v>
      </c>
    </row>
    <row r="46" spans="1:8" s="3" customFormat="1" ht="12.75" customHeight="1">
      <c r="A46" s="101" t="s">
        <v>14</v>
      </c>
      <c r="B46" s="35">
        <v>47</v>
      </c>
      <c r="C46" s="35">
        <v>485</v>
      </c>
      <c r="D46" s="35">
        <v>21</v>
      </c>
      <c r="E46" s="35">
        <v>157</v>
      </c>
      <c r="F46" s="35">
        <v>152</v>
      </c>
      <c r="G46" s="157">
        <v>90</v>
      </c>
      <c r="H46" s="24">
        <f t="shared" si="6"/>
        <v>952</v>
      </c>
    </row>
    <row r="47" spans="1:8" s="3" customFormat="1" ht="12.75" customHeight="1">
      <c r="A47" s="101" t="s">
        <v>15</v>
      </c>
      <c r="B47" s="35">
        <v>50</v>
      </c>
      <c r="C47" s="35">
        <v>573</v>
      </c>
      <c r="D47" s="35">
        <v>22</v>
      </c>
      <c r="E47" s="35">
        <v>224</v>
      </c>
      <c r="F47" s="35">
        <v>227</v>
      </c>
      <c r="G47" s="157">
        <v>128</v>
      </c>
      <c r="H47" s="24">
        <f t="shared" si="6"/>
        <v>1224</v>
      </c>
    </row>
    <row r="48" spans="1:8" s="3" customFormat="1" ht="12.75" customHeight="1">
      <c r="A48" s="101" t="s">
        <v>16</v>
      </c>
      <c r="B48" s="35">
        <v>45</v>
      </c>
      <c r="C48" s="35">
        <v>620</v>
      </c>
      <c r="D48" s="35">
        <v>24</v>
      </c>
      <c r="E48" s="35">
        <v>221</v>
      </c>
      <c r="F48" s="35">
        <v>195</v>
      </c>
      <c r="G48" s="157">
        <v>115</v>
      </c>
      <c r="H48" s="24">
        <f t="shared" si="6"/>
        <v>1220</v>
      </c>
    </row>
    <row r="49" spans="1:8" s="3" customFormat="1" ht="12.75" customHeight="1">
      <c r="A49" s="101" t="s">
        <v>17</v>
      </c>
      <c r="B49" s="35">
        <v>41</v>
      </c>
      <c r="C49" s="35">
        <v>550</v>
      </c>
      <c r="D49" s="35">
        <v>37</v>
      </c>
      <c r="E49" s="35">
        <v>197</v>
      </c>
      <c r="F49" s="35">
        <v>171</v>
      </c>
      <c r="G49" s="157">
        <v>108</v>
      </c>
      <c r="H49" s="24">
        <f t="shared" si="6"/>
        <v>1104</v>
      </c>
    </row>
    <row r="50" spans="1:8" s="3" customFormat="1" ht="12.75" customHeight="1">
      <c r="A50" s="101" t="s">
        <v>18</v>
      </c>
      <c r="B50" s="35">
        <v>38</v>
      </c>
      <c r="C50" s="35">
        <v>559</v>
      </c>
      <c r="D50" s="35">
        <v>32</v>
      </c>
      <c r="E50" s="35">
        <v>200</v>
      </c>
      <c r="F50" s="35">
        <v>194</v>
      </c>
      <c r="G50" s="157">
        <v>118</v>
      </c>
      <c r="H50" s="24">
        <f t="shared" si="6"/>
        <v>1141</v>
      </c>
    </row>
    <row r="51" spans="1:8" s="3" customFormat="1" ht="12.75" customHeight="1">
      <c r="A51" s="101" t="s">
        <v>19</v>
      </c>
      <c r="B51" s="35">
        <v>27</v>
      </c>
      <c r="C51" s="35">
        <v>577</v>
      </c>
      <c r="D51" s="35">
        <v>30</v>
      </c>
      <c r="E51" s="35">
        <v>199</v>
      </c>
      <c r="F51" s="35">
        <v>235</v>
      </c>
      <c r="G51" s="157">
        <v>134</v>
      </c>
      <c r="H51" s="24">
        <f t="shared" si="6"/>
        <v>1202</v>
      </c>
    </row>
    <row r="52" spans="1:8" s="3" customFormat="1" ht="12.75" customHeight="1">
      <c r="A52" s="101" t="s">
        <v>20</v>
      </c>
      <c r="B52" s="35">
        <v>30</v>
      </c>
      <c r="C52" s="35">
        <v>493</v>
      </c>
      <c r="D52" s="35">
        <v>20</v>
      </c>
      <c r="E52" s="35">
        <v>170</v>
      </c>
      <c r="F52" s="35">
        <v>201</v>
      </c>
      <c r="G52" s="157">
        <v>87</v>
      </c>
      <c r="H52" s="24">
        <f t="shared" si="6"/>
        <v>1001</v>
      </c>
    </row>
    <row r="53" spans="1:8" s="3" customFormat="1" ht="12.75" customHeight="1">
      <c r="A53" s="101" t="s">
        <v>21</v>
      </c>
      <c r="B53" s="35">
        <v>33</v>
      </c>
      <c r="C53" s="35">
        <v>496</v>
      </c>
      <c r="D53" s="35">
        <v>23</v>
      </c>
      <c r="E53" s="35">
        <v>117</v>
      </c>
      <c r="F53" s="35">
        <v>184</v>
      </c>
      <c r="G53" s="157">
        <v>100</v>
      </c>
      <c r="H53" s="24">
        <f t="shared" si="6"/>
        <v>953</v>
      </c>
    </row>
    <row r="54" spans="1:8" s="3" customFormat="1" ht="12.75" customHeight="1">
      <c r="A54" s="101" t="s">
        <v>22</v>
      </c>
      <c r="B54" s="35">
        <v>53</v>
      </c>
      <c r="C54" s="35">
        <v>635</v>
      </c>
      <c r="D54" s="35">
        <v>24</v>
      </c>
      <c r="E54" s="35">
        <v>158</v>
      </c>
      <c r="F54" s="35">
        <v>197</v>
      </c>
      <c r="G54" s="157">
        <v>86</v>
      </c>
      <c r="H54" s="24">
        <f t="shared" si="6"/>
        <v>1153</v>
      </c>
    </row>
    <row r="55" spans="1:8" s="3" customFormat="1" ht="12.75" customHeight="1" thickBot="1">
      <c r="A55" s="98" t="s">
        <v>23</v>
      </c>
      <c r="B55" s="36">
        <v>457</v>
      </c>
      <c r="C55" s="36">
        <v>6355</v>
      </c>
      <c r="D55" s="36">
        <v>305</v>
      </c>
      <c r="E55" s="36">
        <v>1961</v>
      </c>
      <c r="F55" s="36">
        <v>2212</v>
      </c>
      <c r="G55" s="158">
        <v>1196</v>
      </c>
      <c r="H55" s="159">
        <f t="shared" si="6"/>
        <v>12486</v>
      </c>
    </row>
    <row r="56" spans="1:8" s="3" customFormat="1" ht="12.75" customHeight="1" thickBot="1">
      <c r="A56" s="30" t="s">
        <v>50</v>
      </c>
      <c r="B56" s="52">
        <f>SUM(B44:B55)</f>
        <v>878</v>
      </c>
      <c r="C56" s="52">
        <f aca="true" t="shared" si="7" ref="C56:H56">SUM(C44:C55)</f>
        <v>12228</v>
      </c>
      <c r="D56" s="52">
        <f t="shared" si="7"/>
        <v>580</v>
      </c>
      <c r="E56" s="52">
        <f>SUM(E44:E55)</f>
        <v>3807</v>
      </c>
      <c r="F56" s="52">
        <f t="shared" si="7"/>
        <v>4258</v>
      </c>
      <c r="G56" s="52">
        <f t="shared" si="7"/>
        <v>2309</v>
      </c>
      <c r="H56" s="52">
        <f t="shared" si="7"/>
        <v>24060</v>
      </c>
    </row>
    <row r="57" spans="1:6" s="3" customFormat="1" ht="12.75">
      <c r="A57" s="107" t="s">
        <v>93</v>
      </c>
      <c r="F57" s="107" t="s">
        <v>11</v>
      </c>
    </row>
    <row r="58" spans="1:8" s="3" customFormat="1" ht="12.75" customHeight="1">
      <c r="A58" s="18"/>
      <c r="B58" s="46"/>
      <c r="C58" s="46"/>
      <c r="D58" s="46"/>
      <c r="E58" s="46"/>
      <c r="F58" s="46"/>
      <c r="G58" s="46"/>
      <c r="H58" s="46"/>
    </row>
    <row r="59" spans="1:8" s="3" customFormat="1" ht="12.75" customHeight="1">
      <c r="A59" s="18"/>
      <c r="B59" s="46"/>
      <c r="C59" s="46"/>
      <c r="D59" s="46"/>
      <c r="E59" s="46"/>
      <c r="F59" s="46"/>
      <c r="G59" s="46"/>
      <c r="H59" s="46"/>
    </row>
    <row r="60" spans="1:8" s="3" customFormat="1" ht="12.75" customHeight="1">
      <c r="A60" s="18"/>
      <c r="B60" s="46"/>
      <c r="C60" s="46"/>
      <c r="D60" s="46"/>
      <c r="E60" s="46"/>
      <c r="F60" s="46"/>
      <c r="G60" s="46"/>
      <c r="H60" s="46"/>
    </row>
    <row r="61" spans="1:8" s="3" customFormat="1" ht="19.5" customHeight="1">
      <c r="A61" s="266" t="s">
        <v>168</v>
      </c>
      <c r="B61" s="266"/>
      <c r="C61" s="266"/>
      <c r="D61" s="266"/>
      <c r="E61" s="266"/>
      <c r="F61" s="266"/>
      <c r="G61" s="266"/>
      <c r="H61" s="266"/>
    </row>
    <row r="62" spans="1:2" s="3" customFormat="1" ht="6.75" customHeight="1" thickBot="1">
      <c r="A62" s="11"/>
      <c r="B62" s="15"/>
    </row>
    <row r="63" spans="1:8" s="3" customFormat="1" ht="13.5" customHeight="1" thickBot="1">
      <c r="A63" s="11"/>
      <c r="B63" s="265" t="s">
        <v>46</v>
      </c>
      <c r="C63" s="265"/>
      <c r="D63" s="265"/>
      <c r="E63" s="265"/>
      <c r="F63" s="265"/>
      <c r="G63" s="265"/>
      <c r="H63" s="265"/>
    </row>
    <row r="64" spans="1:8" s="3" customFormat="1" ht="21.75" thickBot="1">
      <c r="A64" s="107"/>
      <c r="B64" s="175" t="s">
        <v>25</v>
      </c>
      <c r="C64" s="175" t="s">
        <v>34</v>
      </c>
      <c r="D64" s="175" t="s">
        <v>26</v>
      </c>
      <c r="E64" s="175" t="s">
        <v>28</v>
      </c>
      <c r="F64" s="175" t="s">
        <v>29</v>
      </c>
      <c r="G64" s="175" t="s">
        <v>30</v>
      </c>
      <c r="H64" s="175" t="s">
        <v>0</v>
      </c>
    </row>
    <row r="65" spans="1:8" s="3" customFormat="1" ht="12.75" customHeight="1">
      <c r="A65" s="97" t="s">
        <v>12</v>
      </c>
      <c r="B65" s="39">
        <v>25</v>
      </c>
      <c r="C65" s="39">
        <v>275</v>
      </c>
      <c r="D65" s="39">
        <v>11</v>
      </c>
      <c r="E65" s="39">
        <v>68</v>
      </c>
      <c r="F65" s="39">
        <v>112</v>
      </c>
      <c r="G65" s="155">
        <v>52</v>
      </c>
      <c r="H65" s="156">
        <f aca="true" t="shared" si="8" ref="H65:H76">SUM(B65:G65)</f>
        <v>543</v>
      </c>
    </row>
    <row r="66" spans="1:8" s="3" customFormat="1" ht="12.75" customHeight="1">
      <c r="A66" s="101" t="s">
        <v>13</v>
      </c>
      <c r="B66" s="35">
        <v>44</v>
      </c>
      <c r="C66" s="35">
        <v>465</v>
      </c>
      <c r="D66" s="35">
        <v>29</v>
      </c>
      <c r="E66" s="35">
        <v>153</v>
      </c>
      <c r="F66" s="35">
        <v>188</v>
      </c>
      <c r="G66" s="157">
        <v>102</v>
      </c>
      <c r="H66" s="24">
        <f t="shared" si="8"/>
        <v>981</v>
      </c>
    </row>
    <row r="67" spans="1:8" s="3" customFormat="1" ht="12.75" customHeight="1">
      <c r="A67" s="101" t="s">
        <v>14</v>
      </c>
      <c r="B67" s="35">
        <v>33</v>
      </c>
      <c r="C67" s="35">
        <v>489</v>
      </c>
      <c r="D67" s="35">
        <v>25</v>
      </c>
      <c r="E67" s="35">
        <v>164</v>
      </c>
      <c r="F67" s="35">
        <v>179</v>
      </c>
      <c r="G67" s="157">
        <v>101</v>
      </c>
      <c r="H67" s="24">
        <f t="shared" si="8"/>
        <v>991</v>
      </c>
    </row>
    <row r="68" spans="1:8" s="3" customFormat="1" ht="12.75" customHeight="1">
      <c r="A68" s="101" t="s">
        <v>15</v>
      </c>
      <c r="B68" s="35">
        <v>31</v>
      </c>
      <c r="C68" s="35">
        <v>489</v>
      </c>
      <c r="D68" s="35">
        <v>22</v>
      </c>
      <c r="E68" s="35">
        <v>126</v>
      </c>
      <c r="F68" s="35">
        <v>141</v>
      </c>
      <c r="G68" s="157">
        <v>79</v>
      </c>
      <c r="H68" s="24">
        <f t="shared" si="8"/>
        <v>888</v>
      </c>
    </row>
    <row r="69" spans="1:8" s="3" customFormat="1" ht="12.75" customHeight="1">
      <c r="A69" s="101" t="s">
        <v>16</v>
      </c>
      <c r="B69" s="35">
        <v>32</v>
      </c>
      <c r="C69" s="35">
        <v>566</v>
      </c>
      <c r="D69" s="35">
        <v>44</v>
      </c>
      <c r="E69" s="35">
        <v>199</v>
      </c>
      <c r="F69" s="35">
        <v>181</v>
      </c>
      <c r="G69" s="157">
        <v>106</v>
      </c>
      <c r="H69" s="24">
        <f t="shared" si="8"/>
        <v>1128</v>
      </c>
    </row>
    <row r="70" spans="1:8" s="3" customFormat="1" ht="12.75" customHeight="1">
      <c r="A70" s="101" t="s">
        <v>17</v>
      </c>
      <c r="B70" s="35">
        <v>42</v>
      </c>
      <c r="C70" s="35">
        <v>548</v>
      </c>
      <c r="D70" s="35">
        <v>39</v>
      </c>
      <c r="E70" s="35">
        <v>203</v>
      </c>
      <c r="F70" s="35">
        <v>198</v>
      </c>
      <c r="G70" s="157">
        <v>91</v>
      </c>
      <c r="H70" s="24">
        <f t="shared" si="8"/>
        <v>1121</v>
      </c>
    </row>
    <row r="71" spans="1:8" s="3" customFormat="1" ht="12.75" customHeight="1">
      <c r="A71" s="101" t="s">
        <v>18</v>
      </c>
      <c r="B71" s="35">
        <v>31</v>
      </c>
      <c r="C71" s="35">
        <v>512</v>
      </c>
      <c r="D71" s="35">
        <v>47</v>
      </c>
      <c r="E71" s="35">
        <v>155</v>
      </c>
      <c r="F71" s="35">
        <v>202</v>
      </c>
      <c r="G71" s="157">
        <v>109</v>
      </c>
      <c r="H71" s="24">
        <f t="shared" si="8"/>
        <v>1056</v>
      </c>
    </row>
    <row r="72" spans="1:8" s="3" customFormat="1" ht="12.75" customHeight="1">
      <c r="A72" s="101" t="s">
        <v>19</v>
      </c>
      <c r="B72" s="35">
        <v>33</v>
      </c>
      <c r="C72" s="35">
        <v>468</v>
      </c>
      <c r="D72" s="35">
        <v>47</v>
      </c>
      <c r="E72" s="35">
        <v>169</v>
      </c>
      <c r="F72" s="35">
        <v>227</v>
      </c>
      <c r="G72" s="157">
        <v>135</v>
      </c>
      <c r="H72" s="24">
        <f t="shared" si="8"/>
        <v>1079</v>
      </c>
    </row>
    <row r="73" spans="1:8" s="3" customFormat="1" ht="12.75" customHeight="1">
      <c r="A73" s="101" t="s">
        <v>20</v>
      </c>
      <c r="B73" s="35">
        <v>38</v>
      </c>
      <c r="C73" s="35">
        <v>464</v>
      </c>
      <c r="D73" s="35">
        <v>29</v>
      </c>
      <c r="E73" s="35">
        <v>145</v>
      </c>
      <c r="F73" s="35">
        <v>268</v>
      </c>
      <c r="G73" s="157">
        <v>144</v>
      </c>
      <c r="H73" s="24">
        <f t="shared" si="8"/>
        <v>1088</v>
      </c>
    </row>
    <row r="74" spans="1:8" s="3" customFormat="1" ht="12.75" customHeight="1">
      <c r="A74" s="101" t="s">
        <v>21</v>
      </c>
      <c r="B74" s="35">
        <v>30</v>
      </c>
      <c r="C74" s="35">
        <v>494</v>
      </c>
      <c r="D74" s="35">
        <v>32</v>
      </c>
      <c r="E74" s="35">
        <v>134</v>
      </c>
      <c r="F74" s="35">
        <v>269</v>
      </c>
      <c r="G74" s="157">
        <v>137</v>
      </c>
      <c r="H74" s="24">
        <f t="shared" si="8"/>
        <v>1096</v>
      </c>
    </row>
    <row r="75" spans="1:8" s="3" customFormat="1" ht="12.75" customHeight="1">
      <c r="A75" s="101" t="s">
        <v>22</v>
      </c>
      <c r="B75" s="35">
        <v>23</v>
      </c>
      <c r="C75" s="35">
        <v>349</v>
      </c>
      <c r="D75" s="35">
        <v>17</v>
      </c>
      <c r="E75" s="35">
        <v>103</v>
      </c>
      <c r="F75" s="35">
        <v>154</v>
      </c>
      <c r="G75" s="157">
        <v>107</v>
      </c>
      <c r="H75" s="24">
        <f t="shared" si="8"/>
        <v>753</v>
      </c>
    </row>
    <row r="76" spans="1:8" s="3" customFormat="1" ht="12.75" customHeight="1" thickBot="1">
      <c r="A76" s="98" t="s">
        <v>23</v>
      </c>
      <c r="B76" s="36">
        <v>28</v>
      </c>
      <c r="C76" s="36">
        <v>395</v>
      </c>
      <c r="D76" s="36">
        <v>41</v>
      </c>
      <c r="E76" s="36">
        <v>86</v>
      </c>
      <c r="F76" s="36">
        <v>250</v>
      </c>
      <c r="G76" s="158">
        <v>90</v>
      </c>
      <c r="H76" s="159">
        <f t="shared" si="8"/>
        <v>890</v>
      </c>
    </row>
    <row r="77" spans="1:8" s="3" customFormat="1" ht="12.75" customHeight="1" thickBot="1">
      <c r="A77" s="30" t="s">
        <v>51</v>
      </c>
      <c r="B77" s="52">
        <f>SUM(B65:B76)</f>
        <v>390</v>
      </c>
      <c r="C77" s="52">
        <f aca="true" t="shared" si="9" ref="C77:H77">SUM(C65:C76)</f>
        <v>5514</v>
      </c>
      <c r="D77" s="52">
        <f t="shared" si="9"/>
        <v>383</v>
      </c>
      <c r="E77" s="52">
        <f>SUM(E65:E76)</f>
        <v>1705</v>
      </c>
      <c r="F77" s="52">
        <f t="shared" si="9"/>
        <v>2369</v>
      </c>
      <c r="G77" s="52">
        <f t="shared" si="9"/>
        <v>1253</v>
      </c>
      <c r="H77" s="52">
        <f t="shared" si="9"/>
        <v>11614</v>
      </c>
    </row>
    <row r="78" spans="1:8" s="3" customFormat="1" ht="12.75" customHeight="1">
      <c r="A78" s="97" t="s">
        <v>12</v>
      </c>
      <c r="B78" s="39">
        <v>24</v>
      </c>
      <c r="C78" s="39">
        <v>358</v>
      </c>
      <c r="D78" s="39">
        <v>12</v>
      </c>
      <c r="E78" s="39">
        <v>61</v>
      </c>
      <c r="F78" s="39">
        <v>129</v>
      </c>
      <c r="G78" s="155">
        <v>62</v>
      </c>
      <c r="H78" s="156">
        <f aca="true" t="shared" si="10" ref="H78:H89">SUM(B78:G78)</f>
        <v>646</v>
      </c>
    </row>
    <row r="79" spans="1:8" s="3" customFormat="1" ht="12.75" customHeight="1">
      <c r="A79" s="101" t="s">
        <v>13</v>
      </c>
      <c r="B79" s="35">
        <v>36</v>
      </c>
      <c r="C79" s="35">
        <v>344</v>
      </c>
      <c r="D79" s="35">
        <v>8</v>
      </c>
      <c r="E79" s="35">
        <v>64</v>
      </c>
      <c r="F79" s="35">
        <v>174</v>
      </c>
      <c r="G79" s="157">
        <v>91</v>
      </c>
      <c r="H79" s="24">
        <f t="shared" si="10"/>
        <v>717</v>
      </c>
    </row>
    <row r="80" spans="1:8" s="3" customFormat="1" ht="12.75" customHeight="1">
      <c r="A80" s="101" t="s">
        <v>14</v>
      </c>
      <c r="B80" s="35">
        <v>34</v>
      </c>
      <c r="C80" s="35">
        <v>359</v>
      </c>
      <c r="D80" s="35">
        <v>14</v>
      </c>
      <c r="E80" s="35">
        <v>75</v>
      </c>
      <c r="F80" s="35">
        <v>144</v>
      </c>
      <c r="G80" s="157">
        <v>81</v>
      </c>
      <c r="H80" s="24">
        <f t="shared" si="10"/>
        <v>707</v>
      </c>
    </row>
    <row r="81" spans="1:8" s="3" customFormat="1" ht="12.75" customHeight="1">
      <c r="A81" s="101" t="s">
        <v>15</v>
      </c>
      <c r="B81" s="35">
        <v>24</v>
      </c>
      <c r="C81" s="35">
        <v>414</v>
      </c>
      <c r="D81" s="35">
        <v>10</v>
      </c>
      <c r="E81" s="35">
        <v>107</v>
      </c>
      <c r="F81" s="35">
        <v>187</v>
      </c>
      <c r="G81" s="157">
        <v>108</v>
      </c>
      <c r="H81" s="24">
        <f t="shared" si="10"/>
        <v>850</v>
      </c>
    </row>
    <row r="82" spans="1:8" s="3" customFormat="1" ht="12.75" customHeight="1">
      <c r="A82" s="101" t="s">
        <v>16</v>
      </c>
      <c r="B82" s="35">
        <v>31</v>
      </c>
      <c r="C82" s="35">
        <v>545</v>
      </c>
      <c r="D82" s="35">
        <v>30</v>
      </c>
      <c r="E82" s="35">
        <v>144</v>
      </c>
      <c r="F82" s="35">
        <v>250</v>
      </c>
      <c r="G82" s="157">
        <v>168</v>
      </c>
      <c r="H82" s="24">
        <f t="shared" si="10"/>
        <v>1168</v>
      </c>
    </row>
    <row r="83" spans="1:8" s="3" customFormat="1" ht="12.75" customHeight="1">
      <c r="A83" s="101" t="s">
        <v>17</v>
      </c>
      <c r="B83" s="35">
        <v>36</v>
      </c>
      <c r="C83" s="35">
        <v>482</v>
      </c>
      <c r="D83" s="35">
        <v>28</v>
      </c>
      <c r="E83" s="35">
        <v>166</v>
      </c>
      <c r="F83" s="35">
        <v>198</v>
      </c>
      <c r="G83" s="157">
        <v>130</v>
      </c>
      <c r="H83" s="24">
        <f t="shared" si="10"/>
        <v>1040</v>
      </c>
    </row>
    <row r="84" spans="1:8" s="3" customFormat="1" ht="12.75" customHeight="1">
      <c r="A84" s="101" t="s">
        <v>18</v>
      </c>
      <c r="B84" s="35">
        <v>34</v>
      </c>
      <c r="C84" s="35">
        <v>344</v>
      </c>
      <c r="D84" s="35">
        <v>20</v>
      </c>
      <c r="E84" s="35">
        <v>140</v>
      </c>
      <c r="F84" s="35">
        <v>200</v>
      </c>
      <c r="G84" s="157">
        <v>103</v>
      </c>
      <c r="H84" s="24">
        <f t="shared" si="10"/>
        <v>841</v>
      </c>
    </row>
    <row r="85" spans="1:8" s="3" customFormat="1" ht="12.75" customHeight="1">
      <c r="A85" s="101" t="s">
        <v>19</v>
      </c>
      <c r="B85" s="35">
        <v>36</v>
      </c>
      <c r="C85" s="35">
        <v>403</v>
      </c>
      <c r="D85" s="35">
        <v>36</v>
      </c>
      <c r="E85" s="35">
        <v>122</v>
      </c>
      <c r="F85" s="35">
        <v>196</v>
      </c>
      <c r="G85" s="157">
        <v>119</v>
      </c>
      <c r="H85" s="24">
        <f t="shared" si="10"/>
        <v>912</v>
      </c>
    </row>
    <row r="86" spans="1:8" s="3" customFormat="1" ht="12.75" customHeight="1">
      <c r="A86" s="101" t="s">
        <v>20</v>
      </c>
      <c r="B86" s="35">
        <v>40</v>
      </c>
      <c r="C86" s="35">
        <v>394</v>
      </c>
      <c r="D86" s="35">
        <v>26</v>
      </c>
      <c r="E86" s="35">
        <v>79</v>
      </c>
      <c r="F86" s="35">
        <v>169</v>
      </c>
      <c r="G86" s="157">
        <v>95</v>
      </c>
      <c r="H86" s="24">
        <f t="shared" si="10"/>
        <v>803</v>
      </c>
    </row>
    <row r="87" spans="1:8" s="3" customFormat="1" ht="12.75" customHeight="1">
      <c r="A87" s="101" t="s">
        <v>21</v>
      </c>
      <c r="B87" s="35">
        <v>30</v>
      </c>
      <c r="C87" s="35">
        <v>473</v>
      </c>
      <c r="D87" s="35">
        <v>20</v>
      </c>
      <c r="E87" s="35">
        <v>114</v>
      </c>
      <c r="F87" s="35">
        <v>184</v>
      </c>
      <c r="G87" s="157">
        <v>137</v>
      </c>
      <c r="H87" s="24">
        <f t="shared" si="10"/>
        <v>958</v>
      </c>
    </row>
    <row r="88" spans="1:8" s="3" customFormat="1" ht="12.75" customHeight="1">
      <c r="A88" s="101" t="s">
        <v>22</v>
      </c>
      <c r="B88" s="35">
        <v>27</v>
      </c>
      <c r="C88" s="35">
        <v>388</v>
      </c>
      <c r="D88" s="35">
        <v>12</v>
      </c>
      <c r="E88" s="35">
        <v>98</v>
      </c>
      <c r="F88" s="35">
        <v>149</v>
      </c>
      <c r="G88" s="157">
        <v>89</v>
      </c>
      <c r="H88" s="24">
        <f t="shared" si="10"/>
        <v>763</v>
      </c>
    </row>
    <row r="89" spans="1:8" s="3" customFormat="1" ht="12.75" customHeight="1" thickBot="1">
      <c r="A89" s="98" t="s">
        <v>23</v>
      </c>
      <c r="B89" s="36">
        <v>25</v>
      </c>
      <c r="C89" s="36">
        <v>444</v>
      </c>
      <c r="D89" s="36">
        <v>19</v>
      </c>
      <c r="E89" s="36">
        <v>79</v>
      </c>
      <c r="F89" s="36">
        <v>189</v>
      </c>
      <c r="G89" s="158">
        <v>88</v>
      </c>
      <c r="H89" s="159">
        <f t="shared" si="10"/>
        <v>844</v>
      </c>
    </row>
    <row r="90" spans="1:8" s="3" customFormat="1" ht="12.75" customHeight="1" thickBot="1">
      <c r="A90" s="30" t="s">
        <v>52</v>
      </c>
      <c r="B90" s="52">
        <f>SUM(B78:B89)</f>
        <v>377</v>
      </c>
      <c r="C90" s="52">
        <f aca="true" t="shared" si="11" ref="C90:H90">SUM(C78:C89)</f>
        <v>4948</v>
      </c>
      <c r="D90" s="52">
        <f t="shared" si="11"/>
        <v>235</v>
      </c>
      <c r="E90" s="52">
        <f>SUM(E78:E89)</f>
        <v>1249</v>
      </c>
      <c r="F90" s="52">
        <f t="shared" si="11"/>
        <v>2169</v>
      </c>
      <c r="G90" s="52">
        <f t="shared" si="11"/>
        <v>1271</v>
      </c>
      <c r="H90" s="52">
        <f t="shared" si="11"/>
        <v>10249</v>
      </c>
    </row>
    <row r="91" spans="1:8" s="3" customFormat="1" ht="12.75" customHeight="1">
      <c r="A91" s="97" t="s">
        <v>12</v>
      </c>
      <c r="B91" s="39">
        <v>34</v>
      </c>
      <c r="C91" s="39">
        <v>291</v>
      </c>
      <c r="D91" s="39">
        <v>13</v>
      </c>
      <c r="E91" s="39">
        <v>49</v>
      </c>
      <c r="F91" s="39">
        <v>127</v>
      </c>
      <c r="G91" s="155">
        <v>79</v>
      </c>
      <c r="H91" s="156">
        <f aca="true" t="shared" si="12" ref="H91:H102">SUM(B91:G91)</f>
        <v>593</v>
      </c>
    </row>
    <row r="92" spans="1:8" s="3" customFormat="1" ht="12.75" customHeight="1">
      <c r="A92" s="101" t="s">
        <v>13</v>
      </c>
      <c r="B92" s="35">
        <v>30</v>
      </c>
      <c r="C92" s="35">
        <v>406</v>
      </c>
      <c r="D92" s="35">
        <v>25</v>
      </c>
      <c r="E92" s="35">
        <v>76</v>
      </c>
      <c r="F92" s="35">
        <v>181</v>
      </c>
      <c r="G92" s="157">
        <v>145</v>
      </c>
      <c r="H92" s="24">
        <f t="shared" si="12"/>
        <v>863</v>
      </c>
    </row>
    <row r="93" spans="1:8" s="3" customFormat="1" ht="12.75" customHeight="1">
      <c r="A93" s="101" t="s">
        <v>14</v>
      </c>
      <c r="B93" s="35">
        <v>37</v>
      </c>
      <c r="C93" s="35">
        <v>405</v>
      </c>
      <c r="D93" s="35">
        <v>15</v>
      </c>
      <c r="E93" s="35">
        <v>94</v>
      </c>
      <c r="F93" s="35">
        <v>157</v>
      </c>
      <c r="G93" s="157">
        <v>114</v>
      </c>
      <c r="H93" s="24">
        <f t="shared" si="12"/>
        <v>822</v>
      </c>
    </row>
    <row r="94" spans="1:8" s="3" customFormat="1" ht="12.75" customHeight="1">
      <c r="A94" s="101" t="s">
        <v>15</v>
      </c>
      <c r="B94" s="35">
        <v>129</v>
      </c>
      <c r="C94" s="35">
        <v>518</v>
      </c>
      <c r="D94" s="35">
        <v>15</v>
      </c>
      <c r="E94" s="35">
        <v>104</v>
      </c>
      <c r="F94" s="35">
        <v>200</v>
      </c>
      <c r="G94" s="157">
        <v>108</v>
      </c>
      <c r="H94" s="24">
        <f t="shared" si="12"/>
        <v>1074</v>
      </c>
    </row>
    <row r="95" spans="1:8" s="3" customFormat="1" ht="12.75" customHeight="1">
      <c r="A95" s="101" t="s">
        <v>16</v>
      </c>
      <c r="B95" s="35">
        <v>116</v>
      </c>
      <c r="C95" s="35">
        <v>505</v>
      </c>
      <c r="D95" s="35">
        <v>17</v>
      </c>
      <c r="E95" s="35">
        <v>97</v>
      </c>
      <c r="F95" s="35">
        <v>217</v>
      </c>
      <c r="G95" s="157">
        <v>164</v>
      </c>
      <c r="H95" s="24">
        <f t="shared" si="12"/>
        <v>1116</v>
      </c>
    </row>
    <row r="96" spans="1:8" s="3" customFormat="1" ht="12.75" customHeight="1">
      <c r="A96" s="101" t="s">
        <v>17</v>
      </c>
      <c r="B96" s="35">
        <v>93</v>
      </c>
      <c r="C96" s="35">
        <v>458</v>
      </c>
      <c r="D96" s="35">
        <v>17</v>
      </c>
      <c r="E96" s="35">
        <v>115</v>
      </c>
      <c r="F96" s="35">
        <v>209</v>
      </c>
      <c r="G96" s="157">
        <v>128</v>
      </c>
      <c r="H96" s="24">
        <f t="shared" si="12"/>
        <v>1020</v>
      </c>
    </row>
    <row r="97" spans="1:8" s="3" customFormat="1" ht="12.75" customHeight="1">
      <c r="A97" s="101" t="s">
        <v>18</v>
      </c>
      <c r="B97" s="35">
        <v>104</v>
      </c>
      <c r="C97" s="35">
        <v>499</v>
      </c>
      <c r="D97" s="35">
        <v>20</v>
      </c>
      <c r="E97" s="35">
        <v>132</v>
      </c>
      <c r="F97" s="35">
        <v>219</v>
      </c>
      <c r="G97" s="157">
        <v>158</v>
      </c>
      <c r="H97" s="24">
        <f t="shared" si="12"/>
        <v>1132</v>
      </c>
    </row>
    <row r="98" spans="1:8" s="3" customFormat="1" ht="12.75" customHeight="1">
      <c r="A98" s="101" t="s">
        <v>19</v>
      </c>
      <c r="B98" s="35">
        <v>93</v>
      </c>
      <c r="C98" s="35">
        <v>455</v>
      </c>
      <c r="D98" s="35">
        <v>13</v>
      </c>
      <c r="E98" s="35">
        <v>125</v>
      </c>
      <c r="F98" s="35">
        <v>215</v>
      </c>
      <c r="G98" s="157">
        <v>156</v>
      </c>
      <c r="H98" s="24">
        <f t="shared" si="12"/>
        <v>1057</v>
      </c>
    </row>
    <row r="99" spans="1:8" s="3" customFormat="1" ht="12.75" customHeight="1">
      <c r="A99" s="101" t="s">
        <v>20</v>
      </c>
      <c r="B99" s="35">
        <v>90</v>
      </c>
      <c r="C99" s="35">
        <v>469</v>
      </c>
      <c r="D99" s="35">
        <v>35</v>
      </c>
      <c r="E99" s="35">
        <v>112</v>
      </c>
      <c r="F99" s="35">
        <v>255</v>
      </c>
      <c r="G99" s="157">
        <v>163</v>
      </c>
      <c r="H99" s="24">
        <f t="shared" si="12"/>
        <v>1124</v>
      </c>
    </row>
    <row r="100" spans="1:8" s="3" customFormat="1" ht="12.75" customHeight="1">
      <c r="A100" s="101" t="s">
        <v>21</v>
      </c>
      <c r="B100" s="35">
        <v>99</v>
      </c>
      <c r="C100" s="35">
        <v>488</v>
      </c>
      <c r="D100" s="35">
        <v>33</v>
      </c>
      <c r="E100" s="35">
        <v>103</v>
      </c>
      <c r="F100" s="35">
        <v>217</v>
      </c>
      <c r="G100" s="157">
        <v>163</v>
      </c>
      <c r="H100" s="24">
        <f t="shared" si="12"/>
        <v>1103</v>
      </c>
    </row>
    <row r="101" spans="1:8" s="3" customFormat="1" ht="12.75" customHeight="1">
      <c r="A101" s="101" t="s">
        <v>22</v>
      </c>
      <c r="B101" s="35">
        <v>75</v>
      </c>
      <c r="C101" s="35">
        <v>413</v>
      </c>
      <c r="D101" s="35">
        <v>20</v>
      </c>
      <c r="E101" s="35">
        <v>67</v>
      </c>
      <c r="F101" s="35">
        <v>169</v>
      </c>
      <c r="G101" s="157">
        <v>76</v>
      </c>
      <c r="H101" s="24">
        <f t="shared" si="12"/>
        <v>820</v>
      </c>
    </row>
    <row r="102" spans="1:8" s="3" customFormat="1" ht="12.75" customHeight="1" thickBot="1">
      <c r="A102" s="98" t="s">
        <v>23</v>
      </c>
      <c r="B102" s="36">
        <v>78</v>
      </c>
      <c r="C102" s="36">
        <v>551</v>
      </c>
      <c r="D102" s="36">
        <v>21</v>
      </c>
      <c r="E102" s="36">
        <v>63</v>
      </c>
      <c r="F102" s="36">
        <v>157</v>
      </c>
      <c r="G102" s="158">
        <v>110</v>
      </c>
      <c r="H102" s="159">
        <f t="shared" si="12"/>
        <v>980</v>
      </c>
    </row>
    <row r="103" spans="1:8" s="3" customFormat="1" ht="12.75" customHeight="1" thickBot="1">
      <c r="A103" s="30" t="s">
        <v>53</v>
      </c>
      <c r="B103" s="52">
        <f>SUM(B91:B102)</f>
        <v>978</v>
      </c>
      <c r="C103" s="52">
        <f aca="true" t="shared" si="13" ref="C103:H103">SUM(C91:C102)</f>
        <v>5458</v>
      </c>
      <c r="D103" s="52">
        <f t="shared" si="13"/>
        <v>244</v>
      </c>
      <c r="E103" s="52">
        <f>SUM(E91:E102)</f>
        <v>1137</v>
      </c>
      <c r="F103" s="52">
        <f t="shared" si="13"/>
        <v>2323</v>
      </c>
      <c r="G103" s="52">
        <f t="shared" si="13"/>
        <v>1564</v>
      </c>
      <c r="H103" s="52">
        <f t="shared" si="13"/>
        <v>11704</v>
      </c>
    </row>
    <row r="104" spans="1:8" s="3" customFormat="1" ht="12.75" customHeight="1">
      <c r="A104" s="97" t="s">
        <v>12</v>
      </c>
      <c r="B104" s="39">
        <v>75</v>
      </c>
      <c r="C104" s="39">
        <v>344</v>
      </c>
      <c r="D104" s="39">
        <v>9</v>
      </c>
      <c r="E104" s="39">
        <v>66</v>
      </c>
      <c r="F104" s="39">
        <v>117</v>
      </c>
      <c r="G104" s="155">
        <v>63</v>
      </c>
      <c r="H104" s="156">
        <f aca="true" t="shared" si="14" ref="H104:H115">SUM(B104:G104)</f>
        <v>674</v>
      </c>
    </row>
    <row r="105" spans="1:8" s="3" customFormat="1" ht="12.75" customHeight="1">
      <c r="A105" s="101" t="s">
        <v>13</v>
      </c>
      <c r="B105" s="35">
        <v>78</v>
      </c>
      <c r="C105" s="35">
        <v>356</v>
      </c>
      <c r="D105" s="35">
        <v>12</v>
      </c>
      <c r="E105" s="35">
        <v>41</v>
      </c>
      <c r="F105" s="35">
        <v>78</v>
      </c>
      <c r="G105" s="35">
        <v>64</v>
      </c>
      <c r="H105" s="24">
        <f t="shared" si="14"/>
        <v>629</v>
      </c>
    </row>
    <row r="106" spans="1:8" s="3" customFormat="1" ht="12.75" customHeight="1">
      <c r="A106" s="101" t="s">
        <v>14</v>
      </c>
      <c r="B106" s="35">
        <v>85</v>
      </c>
      <c r="C106" s="35">
        <v>401</v>
      </c>
      <c r="D106" s="35">
        <v>16</v>
      </c>
      <c r="E106" s="35">
        <v>60</v>
      </c>
      <c r="F106" s="35">
        <v>143</v>
      </c>
      <c r="G106" s="157">
        <v>62</v>
      </c>
      <c r="H106" s="24">
        <f t="shared" si="14"/>
        <v>767</v>
      </c>
    </row>
    <row r="107" spans="1:8" s="3" customFormat="1" ht="12.75" customHeight="1">
      <c r="A107" s="101" t="s">
        <v>15</v>
      </c>
      <c r="B107" s="35">
        <v>89</v>
      </c>
      <c r="C107" s="35">
        <v>431</v>
      </c>
      <c r="D107" s="35">
        <v>23</v>
      </c>
      <c r="E107" s="35">
        <v>97</v>
      </c>
      <c r="F107" s="35">
        <v>137</v>
      </c>
      <c r="G107" s="157">
        <v>86</v>
      </c>
      <c r="H107" s="24">
        <f t="shared" si="14"/>
        <v>863</v>
      </c>
    </row>
    <row r="108" spans="1:8" s="3" customFormat="1" ht="12.75" customHeight="1">
      <c r="A108" s="101" t="s">
        <v>16</v>
      </c>
      <c r="B108" s="35">
        <v>97</v>
      </c>
      <c r="C108" s="35">
        <v>538</v>
      </c>
      <c r="D108" s="35">
        <v>41</v>
      </c>
      <c r="E108" s="35">
        <v>115</v>
      </c>
      <c r="F108" s="35">
        <v>201</v>
      </c>
      <c r="G108" s="157">
        <v>120</v>
      </c>
      <c r="H108" s="24">
        <f t="shared" si="14"/>
        <v>1112</v>
      </c>
    </row>
    <row r="109" spans="1:8" s="3" customFormat="1" ht="12.75" customHeight="1">
      <c r="A109" s="101" t="s">
        <v>17</v>
      </c>
      <c r="B109" s="35">
        <v>122</v>
      </c>
      <c r="C109" s="35">
        <v>595</v>
      </c>
      <c r="D109" s="35">
        <v>44</v>
      </c>
      <c r="E109" s="35">
        <v>123</v>
      </c>
      <c r="F109" s="35">
        <v>190</v>
      </c>
      <c r="G109" s="157">
        <v>139</v>
      </c>
      <c r="H109" s="24">
        <f t="shared" si="14"/>
        <v>1213</v>
      </c>
    </row>
    <row r="110" spans="1:8" s="3" customFormat="1" ht="12.75" customHeight="1">
      <c r="A110" s="101" t="s">
        <v>18</v>
      </c>
      <c r="B110" s="35">
        <v>116</v>
      </c>
      <c r="C110" s="35">
        <v>657</v>
      </c>
      <c r="D110" s="35">
        <v>22</v>
      </c>
      <c r="E110" s="35">
        <v>162</v>
      </c>
      <c r="F110" s="35">
        <v>191</v>
      </c>
      <c r="G110" s="157">
        <v>137</v>
      </c>
      <c r="H110" s="24">
        <f t="shared" si="14"/>
        <v>1285</v>
      </c>
    </row>
    <row r="111" spans="1:8" s="3" customFormat="1" ht="12.75" customHeight="1">
      <c r="A111" s="101" t="s">
        <v>19</v>
      </c>
      <c r="B111" s="35">
        <v>85</v>
      </c>
      <c r="C111" s="35">
        <v>480</v>
      </c>
      <c r="D111" s="35">
        <v>23</v>
      </c>
      <c r="E111" s="35">
        <v>83</v>
      </c>
      <c r="F111" s="35">
        <v>188</v>
      </c>
      <c r="G111" s="157">
        <v>131</v>
      </c>
      <c r="H111" s="24">
        <f t="shared" si="14"/>
        <v>990</v>
      </c>
    </row>
    <row r="112" spans="1:8" s="3" customFormat="1" ht="12.75" customHeight="1">
      <c r="A112" s="101" t="s">
        <v>20</v>
      </c>
      <c r="B112" s="35">
        <v>81</v>
      </c>
      <c r="C112" s="35">
        <v>526</v>
      </c>
      <c r="D112" s="35">
        <v>20</v>
      </c>
      <c r="E112" s="35">
        <v>111</v>
      </c>
      <c r="F112" s="35">
        <v>174</v>
      </c>
      <c r="G112" s="157">
        <v>127</v>
      </c>
      <c r="H112" s="24">
        <f t="shared" si="14"/>
        <v>1039</v>
      </c>
    </row>
    <row r="113" spans="1:8" s="3" customFormat="1" ht="12.75" customHeight="1">
      <c r="A113" s="101" t="s">
        <v>21</v>
      </c>
      <c r="B113" s="35">
        <v>84</v>
      </c>
      <c r="C113" s="35">
        <v>535</v>
      </c>
      <c r="D113" s="35">
        <v>29</v>
      </c>
      <c r="E113" s="35">
        <v>114</v>
      </c>
      <c r="F113" s="35">
        <v>210</v>
      </c>
      <c r="G113" s="157">
        <v>122</v>
      </c>
      <c r="H113" s="24">
        <f t="shared" si="14"/>
        <v>1094</v>
      </c>
    </row>
    <row r="114" spans="1:8" s="3" customFormat="1" ht="12.75" customHeight="1">
      <c r="A114" s="101" t="s">
        <v>22</v>
      </c>
      <c r="B114" s="35">
        <v>54</v>
      </c>
      <c r="C114" s="35">
        <v>373</v>
      </c>
      <c r="D114" s="35">
        <v>18</v>
      </c>
      <c r="E114" s="35">
        <v>55</v>
      </c>
      <c r="F114" s="35">
        <v>116</v>
      </c>
      <c r="G114" s="157">
        <v>65</v>
      </c>
      <c r="H114" s="24">
        <f t="shared" si="14"/>
        <v>681</v>
      </c>
    </row>
    <row r="115" spans="1:8" s="3" customFormat="1" ht="12.75" customHeight="1" thickBot="1">
      <c r="A115" s="98" t="s">
        <v>23</v>
      </c>
      <c r="B115" s="36">
        <v>80</v>
      </c>
      <c r="C115" s="36">
        <v>571</v>
      </c>
      <c r="D115" s="36">
        <v>33</v>
      </c>
      <c r="E115" s="36">
        <v>93</v>
      </c>
      <c r="F115" s="36">
        <v>154</v>
      </c>
      <c r="G115" s="158">
        <v>106</v>
      </c>
      <c r="H115" s="159">
        <f t="shared" si="14"/>
        <v>1037</v>
      </c>
    </row>
    <row r="116" spans="1:8" s="3" customFormat="1" ht="12.75" customHeight="1" thickBot="1">
      <c r="A116" s="30" t="s">
        <v>54</v>
      </c>
      <c r="B116" s="52">
        <f aca="true" t="shared" si="15" ref="B116:H116">SUM(B104:B115)</f>
        <v>1046</v>
      </c>
      <c r="C116" s="52">
        <f t="shared" si="15"/>
        <v>5807</v>
      </c>
      <c r="D116" s="52">
        <f t="shared" si="15"/>
        <v>290</v>
      </c>
      <c r="E116" s="52">
        <f t="shared" si="15"/>
        <v>1120</v>
      </c>
      <c r="F116" s="52">
        <f t="shared" si="15"/>
        <v>1899</v>
      </c>
      <c r="G116" s="52">
        <f t="shared" si="15"/>
        <v>1222</v>
      </c>
      <c r="H116" s="52">
        <f t="shared" si="15"/>
        <v>11384</v>
      </c>
    </row>
    <row r="117" spans="1:6" s="3" customFormat="1" ht="12.75">
      <c r="A117" s="107" t="s">
        <v>93</v>
      </c>
      <c r="F117" s="107" t="s">
        <v>11</v>
      </c>
    </row>
    <row r="118" spans="1:8" s="3" customFormat="1" ht="12.75">
      <c r="A118" s="18"/>
      <c r="B118" s="46"/>
      <c r="C118" s="46"/>
      <c r="D118" s="46"/>
      <c r="E118" s="46"/>
      <c r="F118" s="46"/>
      <c r="G118" s="46"/>
      <c r="H118" s="46"/>
    </row>
    <row r="119" spans="1:8" s="3" customFormat="1" ht="12.75">
      <c r="A119" s="18"/>
      <c r="B119" s="46"/>
      <c r="C119" s="46"/>
      <c r="D119" s="46"/>
      <c r="E119" s="46"/>
      <c r="F119" s="46"/>
      <c r="G119" s="46"/>
      <c r="H119" s="46"/>
    </row>
    <row r="120" spans="1:8" s="3" customFormat="1" ht="12.75">
      <c r="A120" s="18"/>
      <c r="B120" s="46"/>
      <c r="C120" s="46"/>
      <c r="D120" s="46"/>
      <c r="E120" s="46"/>
      <c r="F120" s="46"/>
      <c r="G120" s="46"/>
      <c r="H120" s="46"/>
    </row>
    <row r="121" spans="1:8" s="3" customFormat="1" ht="18.75">
      <c r="A121" s="176" t="s">
        <v>169</v>
      </c>
      <c r="B121" s="176"/>
      <c r="C121" s="176"/>
      <c r="D121" s="176"/>
      <c r="E121" s="176"/>
      <c r="F121" s="176"/>
      <c r="G121" s="176"/>
      <c r="H121" s="176"/>
    </row>
    <row r="122" spans="1:2" s="3" customFormat="1" ht="6.75" customHeight="1" thickBot="1">
      <c r="A122" s="11"/>
      <c r="B122" s="15"/>
    </row>
    <row r="123" spans="1:8" s="3" customFormat="1" ht="13.5" customHeight="1" thickBot="1">
      <c r="A123" s="11"/>
      <c r="B123" s="265" t="s">
        <v>46</v>
      </c>
      <c r="C123" s="265"/>
      <c r="D123" s="265"/>
      <c r="E123" s="265"/>
      <c r="F123" s="265"/>
      <c r="G123" s="265"/>
      <c r="H123" s="265"/>
    </row>
    <row r="124" spans="1:8" s="3" customFormat="1" ht="21.75" thickBot="1">
      <c r="A124" s="107"/>
      <c r="B124" s="30" t="s">
        <v>25</v>
      </c>
      <c r="C124" s="30" t="s">
        <v>34</v>
      </c>
      <c r="D124" s="30" t="s">
        <v>26</v>
      </c>
      <c r="E124" s="30" t="s">
        <v>28</v>
      </c>
      <c r="F124" s="30" t="s">
        <v>29</v>
      </c>
      <c r="G124" s="30" t="s">
        <v>30</v>
      </c>
      <c r="H124" s="30" t="s">
        <v>0</v>
      </c>
    </row>
    <row r="125" spans="1:8" s="3" customFormat="1" ht="12.75" customHeight="1">
      <c r="A125" s="97" t="s">
        <v>12</v>
      </c>
      <c r="B125" s="39">
        <v>67</v>
      </c>
      <c r="C125" s="39">
        <v>314</v>
      </c>
      <c r="D125" s="39">
        <v>9</v>
      </c>
      <c r="E125" s="39">
        <v>50</v>
      </c>
      <c r="F125" s="39">
        <v>112</v>
      </c>
      <c r="G125" s="155">
        <v>65</v>
      </c>
      <c r="H125" s="156">
        <f aca="true" t="shared" si="16" ref="H125:H136">SUM(B125:G125)</f>
        <v>617</v>
      </c>
    </row>
    <row r="126" spans="1:8" s="3" customFormat="1" ht="12.75" customHeight="1">
      <c r="A126" s="101" t="s">
        <v>13</v>
      </c>
      <c r="B126" s="35">
        <v>68</v>
      </c>
      <c r="C126" s="35">
        <v>395</v>
      </c>
      <c r="D126" s="35">
        <v>18</v>
      </c>
      <c r="E126" s="35">
        <v>50</v>
      </c>
      <c r="F126" s="35">
        <v>99</v>
      </c>
      <c r="G126" s="157">
        <v>60</v>
      </c>
      <c r="H126" s="24">
        <f t="shared" si="16"/>
        <v>690</v>
      </c>
    </row>
    <row r="127" spans="1:8" s="3" customFormat="1" ht="12.75" customHeight="1">
      <c r="A127" s="101" t="s">
        <v>14</v>
      </c>
      <c r="B127" s="35">
        <v>69</v>
      </c>
      <c r="C127" s="35">
        <v>555</v>
      </c>
      <c r="D127" s="35">
        <v>29</v>
      </c>
      <c r="E127" s="35">
        <v>93</v>
      </c>
      <c r="F127" s="35">
        <v>157</v>
      </c>
      <c r="G127" s="157">
        <v>76</v>
      </c>
      <c r="H127" s="24">
        <f t="shared" si="16"/>
        <v>979</v>
      </c>
    </row>
    <row r="128" spans="1:8" s="3" customFormat="1" ht="12.75" customHeight="1">
      <c r="A128" s="101" t="s">
        <v>15</v>
      </c>
      <c r="B128" s="35">
        <v>95</v>
      </c>
      <c r="C128" s="35">
        <v>496</v>
      </c>
      <c r="D128" s="35">
        <v>38</v>
      </c>
      <c r="E128" s="35">
        <v>88</v>
      </c>
      <c r="F128" s="35">
        <v>185</v>
      </c>
      <c r="G128" s="157">
        <v>118</v>
      </c>
      <c r="H128" s="24">
        <f t="shared" si="16"/>
        <v>1020</v>
      </c>
    </row>
    <row r="129" spans="1:8" s="3" customFormat="1" ht="12.75" customHeight="1">
      <c r="A129" s="101" t="s">
        <v>16</v>
      </c>
      <c r="B129" s="35">
        <v>96</v>
      </c>
      <c r="C129" s="35">
        <v>414</v>
      </c>
      <c r="D129" s="35">
        <v>31</v>
      </c>
      <c r="E129" s="35">
        <v>85</v>
      </c>
      <c r="F129" s="35">
        <v>139</v>
      </c>
      <c r="G129" s="157">
        <v>65</v>
      </c>
      <c r="H129" s="24">
        <f t="shared" si="16"/>
        <v>830</v>
      </c>
    </row>
    <row r="130" spans="1:8" s="3" customFormat="1" ht="12.75" customHeight="1">
      <c r="A130" s="101" t="s">
        <v>17</v>
      </c>
      <c r="B130" s="35">
        <v>102</v>
      </c>
      <c r="C130" s="35">
        <v>589</v>
      </c>
      <c r="D130" s="35">
        <v>45</v>
      </c>
      <c r="E130" s="35">
        <v>98</v>
      </c>
      <c r="F130" s="35">
        <v>157</v>
      </c>
      <c r="G130" s="157">
        <v>123</v>
      </c>
      <c r="H130" s="24">
        <f t="shared" si="16"/>
        <v>1114</v>
      </c>
    </row>
    <row r="131" spans="1:8" s="3" customFormat="1" ht="12.75" customHeight="1">
      <c r="A131" s="101" t="s">
        <v>18</v>
      </c>
      <c r="B131" s="35">
        <v>99</v>
      </c>
      <c r="C131" s="35">
        <v>467</v>
      </c>
      <c r="D131" s="35">
        <v>28</v>
      </c>
      <c r="E131" s="35">
        <v>98</v>
      </c>
      <c r="F131" s="35">
        <v>189</v>
      </c>
      <c r="G131" s="157">
        <v>123</v>
      </c>
      <c r="H131" s="24">
        <f t="shared" si="16"/>
        <v>1004</v>
      </c>
    </row>
    <row r="132" spans="1:8" s="3" customFormat="1" ht="12.75" customHeight="1">
      <c r="A132" s="101" t="s">
        <v>19</v>
      </c>
      <c r="B132" s="35">
        <v>92</v>
      </c>
      <c r="C132" s="35">
        <v>512</v>
      </c>
      <c r="D132" s="35">
        <v>39</v>
      </c>
      <c r="E132" s="35">
        <v>111</v>
      </c>
      <c r="F132" s="35">
        <v>194</v>
      </c>
      <c r="G132" s="157">
        <v>139</v>
      </c>
      <c r="H132" s="24">
        <f t="shared" si="16"/>
        <v>1087</v>
      </c>
    </row>
    <row r="133" spans="1:8" s="3" customFormat="1" ht="12.75" customHeight="1">
      <c r="A133" s="101" t="s">
        <v>20</v>
      </c>
      <c r="B133" s="35">
        <v>104</v>
      </c>
      <c r="C133" s="35">
        <v>489</v>
      </c>
      <c r="D133" s="35">
        <v>26</v>
      </c>
      <c r="E133" s="35">
        <v>108</v>
      </c>
      <c r="F133" s="35">
        <v>170</v>
      </c>
      <c r="G133" s="157">
        <v>128</v>
      </c>
      <c r="H133" s="24">
        <f t="shared" si="16"/>
        <v>1025</v>
      </c>
    </row>
    <row r="134" spans="1:8" s="3" customFormat="1" ht="12.75" customHeight="1">
      <c r="A134" s="101" t="s">
        <v>21</v>
      </c>
      <c r="B134" s="35">
        <v>95</v>
      </c>
      <c r="C134" s="35">
        <v>473</v>
      </c>
      <c r="D134" s="35">
        <v>29</v>
      </c>
      <c r="E134" s="35">
        <v>84</v>
      </c>
      <c r="F134" s="35">
        <v>186</v>
      </c>
      <c r="G134" s="157">
        <v>111</v>
      </c>
      <c r="H134" s="24">
        <f t="shared" si="16"/>
        <v>978</v>
      </c>
    </row>
    <row r="135" spans="1:8" s="3" customFormat="1" ht="12.75" customHeight="1">
      <c r="A135" s="101" t="s">
        <v>22</v>
      </c>
      <c r="B135" s="35">
        <v>69</v>
      </c>
      <c r="C135" s="35">
        <v>445</v>
      </c>
      <c r="D135" s="35">
        <v>11</v>
      </c>
      <c r="E135" s="35">
        <v>66</v>
      </c>
      <c r="F135" s="35">
        <v>123</v>
      </c>
      <c r="G135" s="157">
        <v>80</v>
      </c>
      <c r="H135" s="24">
        <f t="shared" si="16"/>
        <v>794</v>
      </c>
    </row>
    <row r="136" spans="1:8" s="3" customFormat="1" ht="12.75" customHeight="1" thickBot="1">
      <c r="A136" s="98" t="s">
        <v>23</v>
      </c>
      <c r="B136" s="36">
        <v>103</v>
      </c>
      <c r="C136" s="36">
        <v>633</v>
      </c>
      <c r="D136" s="36">
        <v>31</v>
      </c>
      <c r="E136" s="36">
        <v>90</v>
      </c>
      <c r="F136" s="36">
        <v>154</v>
      </c>
      <c r="G136" s="158">
        <v>109</v>
      </c>
      <c r="H136" s="159">
        <f t="shared" si="16"/>
        <v>1120</v>
      </c>
    </row>
    <row r="137" spans="1:8" s="3" customFormat="1" ht="12.75" customHeight="1" thickBot="1">
      <c r="A137" s="30" t="s">
        <v>55</v>
      </c>
      <c r="B137" s="52">
        <f>SUM(B125:B136)</f>
        <v>1059</v>
      </c>
      <c r="C137" s="52">
        <f aca="true" t="shared" si="17" ref="C137:H137">SUM(C125:C136)</f>
        <v>5782</v>
      </c>
      <c r="D137" s="52">
        <f t="shared" si="17"/>
        <v>334</v>
      </c>
      <c r="E137" s="52">
        <f>SUM(E125:E136)</f>
        <v>1021</v>
      </c>
      <c r="F137" s="52">
        <f t="shared" si="17"/>
        <v>1865</v>
      </c>
      <c r="G137" s="52">
        <f t="shared" si="17"/>
        <v>1197</v>
      </c>
      <c r="H137" s="52">
        <f t="shared" si="17"/>
        <v>11258</v>
      </c>
    </row>
    <row r="138" spans="1:8" s="3" customFormat="1" ht="12.75" customHeight="1">
      <c r="A138" s="97" t="s">
        <v>12</v>
      </c>
      <c r="B138" s="39">
        <v>66</v>
      </c>
      <c r="C138" s="39">
        <v>316</v>
      </c>
      <c r="D138" s="39">
        <v>8</v>
      </c>
      <c r="E138" s="39">
        <v>34</v>
      </c>
      <c r="F138" s="39">
        <v>82</v>
      </c>
      <c r="G138" s="155">
        <v>25</v>
      </c>
      <c r="H138" s="156">
        <f aca="true" t="shared" si="18" ref="H138:H149">SUM(B138:G138)</f>
        <v>531</v>
      </c>
    </row>
    <row r="139" spans="1:8" s="3" customFormat="1" ht="12.75" customHeight="1">
      <c r="A139" s="101" t="s">
        <v>13</v>
      </c>
      <c r="B139" s="35">
        <v>93</v>
      </c>
      <c r="C139" s="35">
        <v>426</v>
      </c>
      <c r="D139" s="35">
        <v>12</v>
      </c>
      <c r="E139" s="35">
        <v>56</v>
      </c>
      <c r="F139" s="35">
        <v>107</v>
      </c>
      <c r="G139" s="157">
        <v>51</v>
      </c>
      <c r="H139" s="24">
        <f t="shared" si="18"/>
        <v>745</v>
      </c>
    </row>
    <row r="140" spans="1:8" s="3" customFormat="1" ht="12.75" customHeight="1">
      <c r="A140" s="101" t="s">
        <v>14</v>
      </c>
      <c r="B140" s="35">
        <v>106</v>
      </c>
      <c r="C140" s="35">
        <v>569</v>
      </c>
      <c r="D140" s="35">
        <v>21</v>
      </c>
      <c r="E140" s="35">
        <v>76</v>
      </c>
      <c r="F140" s="35">
        <v>148</v>
      </c>
      <c r="G140" s="157">
        <v>85</v>
      </c>
      <c r="H140" s="24">
        <f t="shared" si="18"/>
        <v>1005</v>
      </c>
    </row>
    <row r="141" spans="1:8" s="3" customFormat="1" ht="12.75" customHeight="1">
      <c r="A141" s="101" t="s">
        <v>15</v>
      </c>
      <c r="B141" s="35">
        <v>99</v>
      </c>
      <c r="C141" s="35">
        <v>451</v>
      </c>
      <c r="D141" s="35">
        <v>18</v>
      </c>
      <c r="E141" s="35">
        <v>77</v>
      </c>
      <c r="F141" s="35">
        <v>173</v>
      </c>
      <c r="G141" s="157">
        <v>90</v>
      </c>
      <c r="H141" s="24">
        <f t="shared" si="18"/>
        <v>908</v>
      </c>
    </row>
    <row r="142" spans="1:8" s="3" customFormat="1" ht="12.75" customHeight="1">
      <c r="A142" s="101" t="s">
        <v>16</v>
      </c>
      <c r="B142" s="35">
        <v>110</v>
      </c>
      <c r="C142" s="35">
        <v>573</v>
      </c>
      <c r="D142" s="35">
        <v>17</v>
      </c>
      <c r="E142" s="35">
        <v>111</v>
      </c>
      <c r="F142" s="35">
        <v>163</v>
      </c>
      <c r="G142" s="157">
        <v>115</v>
      </c>
      <c r="H142" s="24">
        <f t="shared" si="18"/>
        <v>1089</v>
      </c>
    </row>
    <row r="143" spans="1:8" s="3" customFormat="1" ht="12.75" customHeight="1">
      <c r="A143" s="101" t="s">
        <v>17</v>
      </c>
      <c r="B143" s="35">
        <v>113</v>
      </c>
      <c r="C143" s="35">
        <v>550</v>
      </c>
      <c r="D143" s="35">
        <v>25</v>
      </c>
      <c r="E143" s="35">
        <v>91</v>
      </c>
      <c r="F143" s="35">
        <v>177</v>
      </c>
      <c r="G143" s="157">
        <v>110</v>
      </c>
      <c r="H143" s="24">
        <f t="shared" si="18"/>
        <v>1066</v>
      </c>
    </row>
    <row r="144" spans="1:8" s="3" customFormat="1" ht="12.75" customHeight="1">
      <c r="A144" s="101" t="s">
        <v>18</v>
      </c>
      <c r="B144" s="35">
        <v>89</v>
      </c>
      <c r="C144" s="35">
        <v>489</v>
      </c>
      <c r="D144" s="35">
        <v>19</v>
      </c>
      <c r="E144" s="35">
        <v>107</v>
      </c>
      <c r="F144" s="35">
        <v>184</v>
      </c>
      <c r="G144" s="157">
        <v>106</v>
      </c>
      <c r="H144" s="24">
        <f t="shared" si="18"/>
        <v>994</v>
      </c>
    </row>
    <row r="145" spans="1:8" s="3" customFormat="1" ht="12.75" customHeight="1">
      <c r="A145" s="101" t="s">
        <v>19</v>
      </c>
      <c r="B145" s="35">
        <v>68</v>
      </c>
      <c r="C145" s="35">
        <v>586</v>
      </c>
      <c r="D145" s="35">
        <v>32</v>
      </c>
      <c r="E145" s="35">
        <v>117</v>
      </c>
      <c r="F145" s="35">
        <v>216</v>
      </c>
      <c r="G145" s="157">
        <v>123</v>
      </c>
      <c r="H145" s="24">
        <f t="shared" si="18"/>
        <v>1142</v>
      </c>
    </row>
    <row r="146" spans="1:8" s="3" customFormat="1" ht="12.75" customHeight="1">
      <c r="A146" s="101" t="s">
        <v>20</v>
      </c>
      <c r="B146" s="35">
        <v>114</v>
      </c>
      <c r="C146" s="35">
        <v>579</v>
      </c>
      <c r="D146" s="35">
        <v>22</v>
      </c>
      <c r="E146" s="35">
        <v>89</v>
      </c>
      <c r="F146" s="35">
        <v>246</v>
      </c>
      <c r="G146" s="157">
        <v>135</v>
      </c>
      <c r="H146" s="24">
        <f t="shared" si="18"/>
        <v>1185</v>
      </c>
    </row>
    <row r="147" spans="1:8" s="3" customFormat="1" ht="12.75" customHeight="1">
      <c r="A147" s="101" t="s">
        <v>21</v>
      </c>
      <c r="B147" s="35">
        <v>92</v>
      </c>
      <c r="C147" s="35">
        <v>535</v>
      </c>
      <c r="D147" s="35">
        <v>14</v>
      </c>
      <c r="E147" s="35">
        <v>81</v>
      </c>
      <c r="F147" s="35">
        <v>208</v>
      </c>
      <c r="G147" s="157">
        <v>106</v>
      </c>
      <c r="H147" s="24">
        <f t="shared" si="18"/>
        <v>1036</v>
      </c>
    </row>
    <row r="148" spans="1:8" s="3" customFormat="1" ht="12.75" customHeight="1">
      <c r="A148" s="101" t="s">
        <v>22</v>
      </c>
      <c r="B148" s="35">
        <v>84</v>
      </c>
      <c r="C148" s="35">
        <v>451</v>
      </c>
      <c r="D148" s="35">
        <v>26</v>
      </c>
      <c r="E148" s="35">
        <v>43</v>
      </c>
      <c r="F148" s="35">
        <v>137</v>
      </c>
      <c r="G148" s="157">
        <v>98</v>
      </c>
      <c r="H148" s="24">
        <f t="shared" si="18"/>
        <v>839</v>
      </c>
    </row>
    <row r="149" spans="1:8" s="3" customFormat="1" ht="12.75" customHeight="1" thickBot="1">
      <c r="A149" s="98" t="s">
        <v>23</v>
      </c>
      <c r="B149" s="36">
        <v>122</v>
      </c>
      <c r="C149" s="36">
        <v>598</v>
      </c>
      <c r="D149" s="36">
        <v>25</v>
      </c>
      <c r="E149" s="36">
        <v>81</v>
      </c>
      <c r="F149" s="36">
        <v>226</v>
      </c>
      <c r="G149" s="158">
        <v>117</v>
      </c>
      <c r="H149" s="159">
        <f t="shared" si="18"/>
        <v>1169</v>
      </c>
    </row>
    <row r="150" spans="1:8" s="3" customFormat="1" ht="12.75" customHeight="1" thickBot="1">
      <c r="A150" s="30" t="s">
        <v>56</v>
      </c>
      <c r="B150" s="52">
        <f aca="true" t="shared" si="19" ref="B150:H150">SUM(B138:B149)</f>
        <v>1156</v>
      </c>
      <c r="C150" s="52">
        <f t="shared" si="19"/>
        <v>6123</v>
      </c>
      <c r="D150" s="52">
        <f t="shared" si="19"/>
        <v>239</v>
      </c>
      <c r="E150" s="52">
        <f t="shared" si="19"/>
        <v>963</v>
      </c>
      <c r="F150" s="52">
        <f t="shared" si="19"/>
        <v>2067</v>
      </c>
      <c r="G150" s="52">
        <f t="shared" si="19"/>
        <v>1161</v>
      </c>
      <c r="H150" s="52">
        <f t="shared" si="19"/>
        <v>11709</v>
      </c>
    </row>
    <row r="151" spans="1:8" s="3" customFormat="1" ht="12.75" customHeight="1">
      <c r="A151" s="97" t="s">
        <v>12</v>
      </c>
      <c r="B151" s="39">
        <v>85</v>
      </c>
      <c r="C151" s="39">
        <v>309</v>
      </c>
      <c r="D151" s="39">
        <v>15</v>
      </c>
      <c r="E151" s="39">
        <v>35</v>
      </c>
      <c r="F151" s="39">
        <v>80</v>
      </c>
      <c r="G151" s="155">
        <v>42</v>
      </c>
      <c r="H151" s="156">
        <f aca="true" t="shared" si="20" ref="H151:H162">SUM(B151:G151)</f>
        <v>566</v>
      </c>
    </row>
    <row r="152" spans="1:8" s="3" customFormat="1" ht="12.75" customHeight="1">
      <c r="A152" s="101" t="s">
        <v>13</v>
      </c>
      <c r="B152" s="35">
        <v>98</v>
      </c>
      <c r="C152" s="35">
        <v>476</v>
      </c>
      <c r="D152" s="35">
        <v>9</v>
      </c>
      <c r="E152" s="35">
        <v>54</v>
      </c>
      <c r="F152" s="35">
        <v>112</v>
      </c>
      <c r="G152" s="157">
        <v>70</v>
      </c>
      <c r="H152" s="24">
        <f t="shared" si="20"/>
        <v>819</v>
      </c>
    </row>
    <row r="153" spans="1:8" s="3" customFormat="1" ht="12.75" customHeight="1">
      <c r="A153" s="101" t="s">
        <v>14</v>
      </c>
      <c r="B153" s="35">
        <v>124</v>
      </c>
      <c r="C153" s="35">
        <v>630</v>
      </c>
      <c r="D153" s="35">
        <v>27</v>
      </c>
      <c r="E153" s="35">
        <v>94</v>
      </c>
      <c r="F153" s="35">
        <v>168</v>
      </c>
      <c r="G153" s="157">
        <v>106</v>
      </c>
      <c r="H153" s="24">
        <f t="shared" si="20"/>
        <v>1149</v>
      </c>
    </row>
    <row r="154" spans="1:8" s="3" customFormat="1" ht="12.75" customHeight="1">
      <c r="A154" s="101" t="s">
        <v>15</v>
      </c>
      <c r="B154" s="35">
        <v>107</v>
      </c>
      <c r="C154" s="35">
        <v>461</v>
      </c>
      <c r="D154" s="35">
        <v>12</v>
      </c>
      <c r="E154" s="35">
        <v>92</v>
      </c>
      <c r="F154" s="35">
        <v>163</v>
      </c>
      <c r="G154" s="157">
        <v>115</v>
      </c>
      <c r="H154" s="24">
        <f t="shared" si="20"/>
        <v>950</v>
      </c>
    </row>
    <row r="155" spans="1:8" s="3" customFormat="1" ht="12.75" customHeight="1">
      <c r="A155" s="101" t="s">
        <v>16</v>
      </c>
      <c r="B155" s="35">
        <v>119</v>
      </c>
      <c r="C155" s="35">
        <v>617</v>
      </c>
      <c r="D155" s="35">
        <v>10</v>
      </c>
      <c r="E155" s="35">
        <v>108</v>
      </c>
      <c r="F155" s="35">
        <v>204</v>
      </c>
      <c r="G155" s="157">
        <v>135</v>
      </c>
      <c r="H155" s="24">
        <f t="shared" si="20"/>
        <v>1193</v>
      </c>
    </row>
    <row r="156" spans="1:8" s="3" customFormat="1" ht="12.75" customHeight="1">
      <c r="A156" s="101" t="s">
        <v>17</v>
      </c>
      <c r="B156" s="35">
        <v>109</v>
      </c>
      <c r="C156" s="35">
        <v>553</v>
      </c>
      <c r="D156" s="35">
        <v>13</v>
      </c>
      <c r="E156" s="35">
        <v>101</v>
      </c>
      <c r="F156" s="35">
        <v>151</v>
      </c>
      <c r="G156" s="157">
        <v>128</v>
      </c>
      <c r="H156" s="24">
        <f t="shared" si="20"/>
        <v>1055</v>
      </c>
    </row>
    <row r="157" spans="1:8" s="3" customFormat="1" ht="12.75" customHeight="1">
      <c r="A157" s="101" t="s">
        <v>18</v>
      </c>
      <c r="B157" s="35">
        <v>49</v>
      </c>
      <c r="C157" s="35">
        <v>193</v>
      </c>
      <c r="D157" s="35">
        <v>2</v>
      </c>
      <c r="E157" s="35">
        <v>25</v>
      </c>
      <c r="F157" s="35">
        <v>62</v>
      </c>
      <c r="G157" s="157">
        <v>43</v>
      </c>
      <c r="H157" s="24">
        <f t="shared" si="20"/>
        <v>374</v>
      </c>
    </row>
    <row r="158" spans="1:8" s="3" customFormat="1" ht="12.75" customHeight="1">
      <c r="A158" s="101" t="s">
        <v>19</v>
      </c>
      <c r="B158" s="35">
        <v>65</v>
      </c>
      <c r="C158" s="35">
        <v>321</v>
      </c>
      <c r="D158" s="35">
        <v>7</v>
      </c>
      <c r="E158" s="35">
        <v>24</v>
      </c>
      <c r="F158" s="35">
        <v>15</v>
      </c>
      <c r="G158" s="157">
        <v>18</v>
      </c>
      <c r="H158" s="24">
        <f t="shared" si="20"/>
        <v>450</v>
      </c>
    </row>
    <row r="159" spans="1:8" s="3" customFormat="1" ht="12.75" customHeight="1">
      <c r="A159" s="101" t="s">
        <v>20</v>
      </c>
      <c r="B159" s="35">
        <v>79</v>
      </c>
      <c r="C159" s="35">
        <v>369</v>
      </c>
      <c r="D159" s="35">
        <v>18</v>
      </c>
      <c r="E159" s="35">
        <v>46</v>
      </c>
      <c r="F159" s="35">
        <v>54</v>
      </c>
      <c r="G159" s="157">
        <v>32</v>
      </c>
      <c r="H159" s="24">
        <f t="shared" si="20"/>
        <v>598</v>
      </c>
    </row>
    <row r="160" spans="1:8" s="3" customFormat="1" ht="12.75" customHeight="1">
      <c r="A160" s="101" t="s">
        <v>21</v>
      </c>
      <c r="B160" s="35">
        <v>82</v>
      </c>
      <c r="C160" s="35">
        <v>354</v>
      </c>
      <c r="D160" s="35">
        <v>16</v>
      </c>
      <c r="E160" s="35">
        <v>75</v>
      </c>
      <c r="F160" s="35">
        <v>81</v>
      </c>
      <c r="G160" s="157">
        <v>56</v>
      </c>
      <c r="H160" s="24">
        <f t="shared" si="20"/>
        <v>664</v>
      </c>
    </row>
    <row r="161" spans="1:8" s="3" customFormat="1" ht="12.75" customHeight="1">
      <c r="A161" s="101" t="s">
        <v>22</v>
      </c>
      <c r="B161" s="35">
        <v>81</v>
      </c>
      <c r="C161" s="35">
        <v>394</v>
      </c>
      <c r="D161" s="35">
        <v>15</v>
      </c>
      <c r="E161" s="35">
        <v>56</v>
      </c>
      <c r="F161" s="35">
        <v>85</v>
      </c>
      <c r="G161" s="157">
        <v>80</v>
      </c>
      <c r="H161" s="24">
        <f t="shared" si="20"/>
        <v>711</v>
      </c>
    </row>
    <row r="162" spans="1:8" s="3" customFormat="1" ht="12.75" customHeight="1" thickBot="1">
      <c r="A162" s="98" t="s">
        <v>23</v>
      </c>
      <c r="B162" s="36">
        <v>79</v>
      </c>
      <c r="C162" s="36">
        <v>434</v>
      </c>
      <c r="D162" s="36">
        <v>17</v>
      </c>
      <c r="E162" s="36">
        <v>60</v>
      </c>
      <c r="F162" s="36">
        <v>103</v>
      </c>
      <c r="G162" s="158">
        <v>69</v>
      </c>
      <c r="H162" s="159">
        <f t="shared" si="20"/>
        <v>762</v>
      </c>
    </row>
    <row r="163" spans="1:8" s="3" customFormat="1" ht="12.75" customHeight="1" thickBot="1">
      <c r="A163" s="30" t="s">
        <v>57</v>
      </c>
      <c r="B163" s="52">
        <f aca="true" t="shared" si="21" ref="B163:H163">SUM(B151:B162)</f>
        <v>1077</v>
      </c>
      <c r="C163" s="52">
        <f t="shared" si="21"/>
        <v>5111</v>
      </c>
      <c r="D163" s="52">
        <f t="shared" si="21"/>
        <v>161</v>
      </c>
      <c r="E163" s="52">
        <f t="shared" si="21"/>
        <v>770</v>
      </c>
      <c r="F163" s="52">
        <f t="shared" si="21"/>
        <v>1278</v>
      </c>
      <c r="G163" s="52">
        <f t="shared" si="21"/>
        <v>894</v>
      </c>
      <c r="H163" s="52">
        <f t="shared" si="21"/>
        <v>9291</v>
      </c>
    </row>
    <row r="164" spans="1:8" s="3" customFormat="1" ht="12.75" customHeight="1">
      <c r="A164" s="97" t="s">
        <v>12</v>
      </c>
      <c r="B164" s="39">
        <v>58</v>
      </c>
      <c r="C164" s="39">
        <v>279</v>
      </c>
      <c r="D164" s="39">
        <v>6</v>
      </c>
      <c r="E164" s="39">
        <v>35</v>
      </c>
      <c r="F164" s="39">
        <v>78</v>
      </c>
      <c r="G164" s="155">
        <v>36</v>
      </c>
      <c r="H164" s="156">
        <f aca="true" t="shared" si="22" ref="H164:H175">SUM(B164:G164)</f>
        <v>492</v>
      </c>
    </row>
    <row r="165" spans="1:8" s="3" customFormat="1" ht="12.75" customHeight="1">
      <c r="A165" s="101" t="s">
        <v>13</v>
      </c>
      <c r="B165" s="35">
        <v>64</v>
      </c>
      <c r="C165" s="35">
        <v>387</v>
      </c>
      <c r="D165" s="35">
        <v>11</v>
      </c>
      <c r="E165" s="35">
        <v>56</v>
      </c>
      <c r="F165" s="35">
        <v>110</v>
      </c>
      <c r="G165" s="157">
        <v>56</v>
      </c>
      <c r="H165" s="24">
        <f t="shared" si="22"/>
        <v>684</v>
      </c>
    </row>
    <row r="166" spans="1:8" s="3" customFormat="1" ht="12.75" customHeight="1">
      <c r="A166" s="101" t="s">
        <v>14</v>
      </c>
      <c r="B166" s="35">
        <v>101</v>
      </c>
      <c r="C166" s="35">
        <v>441</v>
      </c>
      <c r="D166" s="35">
        <v>20</v>
      </c>
      <c r="E166" s="35">
        <v>65</v>
      </c>
      <c r="F166" s="35">
        <v>142</v>
      </c>
      <c r="G166" s="157">
        <v>76</v>
      </c>
      <c r="H166" s="24">
        <f t="shared" si="22"/>
        <v>845</v>
      </c>
    </row>
    <row r="167" spans="1:8" s="3" customFormat="1" ht="12.75" customHeight="1">
      <c r="A167" s="101" t="s">
        <v>15</v>
      </c>
      <c r="B167" s="35">
        <v>65</v>
      </c>
      <c r="C167" s="35">
        <v>430</v>
      </c>
      <c r="D167" s="35">
        <v>17</v>
      </c>
      <c r="E167" s="35">
        <v>60</v>
      </c>
      <c r="F167" s="35">
        <v>87</v>
      </c>
      <c r="G167" s="157">
        <v>67</v>
      </c>
      <c r="H167" s="24">
        <f t="shared" si="22"/>
        <v>726</v>
      </c>
    </row>
    <row r="168" spans="1:8" s="3" customFormat="1" ht="12.75" customHeight="1">
      <c r="A168" s="101" t="s">
        <v>16</v>
      </c>
      <c r="B168" s="35">
        <v>82</v>
      </c>
      <c r="C168" s="35">
        <v>480</v>
      </c>
      <c r="D168" s="35">
        <v>10</v>
      </c>
      <c r="E168" s="35">
        <v>83</v>
      </c>
      <c r="F168" s="35">
        <v>103</v>
      </c>
      <c r="G168" s="157">
        <v>95</v>
      </c>
      <c r="H168" s="24">
        <f t="shared" si="22"/>
        <v>853</v>
      </c>
    </row>
    <row r="169" spans="1:8" s="3" customFormat="1" ht="12.75" customHeight="1">
      <c r="A169" s="101" t="s">
        <v>17</v>
      </c>
      <c r="B169" s="35">
        <v>106</v>
      </c>
      <c r="C169" s="35">
        <v>481</v>
      </c>
      <c r="D169" s="35">
        <v>18</v>
      </c>
      <c r="E169" s="35">
        <v>64</v>
      </c>
      <c r="F169" s="35">
        <v>100</v>
      </c>
      <c r="G169" s="157">
        <v>54</v>
      </c>
      <c r="H169" s="24">
        <f t="shared" si="22"/>
        <v>823</v>
      </c>
    </row>
    <row r="170" spans="1:8" s="3" customFormat="1" ht="12.75" customHeight="1">
      <c r="A170" s="101" t="s">
        <v>18</v>
      </c>
      <c r="B170" s="35">
        <v>93</v>
      </c>
      <c r="C170" s="35">
        <v>453</v>
      </c>
      <c r="D170" s="35">
        <v>10</v>
      </c>
      <c r="E170" s="35">
        <v>76</v>
      </c>
      <c r="F170" s="35">
        <v>114</v>
      </c>
      <c r="G170" s="157">
        <v>78</v>
      </c>
      <c r="H170" s="24">
        <f t="shared" si="22"/>
        <v>824</v>
      </c>
    </row>
    <row r="171" spans="1:8" s="3" customFormat="1" ht="12.75" customHeight="1">
      <c r="A171" s="101" t="s">
        <v>19</v>
      </c>
      <c r="B171" s="35">
        <v>77</v>
      </c>
      <c r="C171" s="35">
        <v>438</v>
      </c>
      <c r="D171" s="35">
        <v>16</v>
      </c>
      <c r="E171" s="35">
        <v>84</v>
      </c>
      <c r="F171" s="35">
        <v>147</v>
      </c>
      <c r="G171" s="157">
        <v>89</v>
      </c>
      <c r="H171" s="24">
        <f t="shared" si="22"/>
        <v>851</v>
      </c>
    </row>
    <row r="172" spans="1:8" s="3" customFormat="1" ht="12.75" customHeight="1">
      <c r="A172" s="101" t="s">
        <v>20</v>
      </c>
      <c r="B172" s="35">
        <v>69</v>
      </c>
      <c r="C172" s="35">
        <v>400</v>
      </c>
      <c r="D172" s="35">
        <v>8</v>
      </c>
      <c r="E172" s="35">
        <v>77</v>
      </c>
      <c r="F172" s="35">
        <v>112</v>
      </c>
      <c r="G172" s="157">
        <v>88</v>
      </c>
      <c r="H172" s="24">
        <f t="shared" si="22"/>
        <v>754</v>
      </c>
    </row>
    <row r="173" spans="1:8" s="3" customFormat="1" ht="12.75" customHeight="1">
      <c r="A173" s="101" t="s">
        <v>21</v>
      </c>
      <c r="B173" s="35">
        <v>80</v>
      </c>
      <c r="C173" s="35">
        <v>516</v>
      </c>
      <c r="D173" s="35">
        <v>8</v>
      </c>
      <c r="E173" s="35">
        <v>86</v>
      </c>
      <c r="F173" s="35">
        <v>124</v>
      </c>
      <c r="G173" s="157">
        <v>79</v>
      </c>
      <c r="H173" s="24">
        <f t="shared" si="22"/>
        <v>893</v>
      </c>
    </row>
    <row r="174" spans="1:8" s="3" customFormat="1" ht="12.75" customHeight="1">
      <c r="A174" s="101" t="s">
        <v>22</v>
      </c>
      <c r="B174" s="35">
        <v>77</v>
      </c>
      <c r="C174" s="35">
        <v>453</v>
      </c>
      <c r="D174" s="35">
        <v>8</v>
      </c>
      <c r="E174" s="35">
        <v>65</v>
      </c>
      <c r="F174" s="35">
        <v>118</v>
      </c>
      <c r="G174" s="157">
        <v>77</v>
      </c>
      <c r="H174" s="24">
        <f t="shared" si="22"/>
        <v>798</v>
      </c>
    </row>
    <row r="175" spans="1:8" s="3" customFormat="1" ht="12.75" customHeight="1" thickBot="1">
      <c r="A175" s="98" t="s">
        <v>23</v>
      </c>
      <c r="B175" s="36">
        <v>81</v>
      </c>
      <c r="C175" s="36">
        <v>456</v>
      </c>
      <c r="D175" s="36">
        <v>13</v>
      </c>
      <c r="E175" s="36">
        <v>64</v>
      </c>
      <c r="F175" s="36">
        <v>112</v>
      </c>
      <c r="G175" s="158">
        <v>57</v>
      </c>
      <c r="H175" s="159">
        <f t="shared" si="22"/>
        <v>783</v>
      </c>
    </row>
    <row r="176" spans="1:8" s="3" customFormat="1" ht="12.75" customHeight="1" thickBot="1">
      <c r="A176" s="30" t="s">
        <v>58</v>
      </c>
      <c r="B176" s="52">
        <f aca="true" t="shared" si="23" ref="B176:H176">SUM(B164:B175)</f>
        <v>953</v>
      </c>
      <c r="C176" s="52">
        <f t="shared" si="23"/>
        <v>5214</v>
      </c>
      <c r="D176" s="52">
        <f t="shared" si="23"/>
        <v>145</v>
      </c>
      <c r="E176" s="52">
        <f t="shared" si="23"/>
        <v>815</v>
      </c>
      <c r="F176" s="52">
        <f t="shared" si="23"/>
        <v>1347</v>
      </c>
      <c r="G176" s="52">
        <f t="shared" si="23"/>
        <v>852</v>
      </c>
      <c r="H176" s="52">
        <f t="shared" si="23"/>
        <v>9326</v>
      </c>
    </row>
    <row r="177" spans="1:6" s="3" customFormat="1" ht="12.75">
      <c r="A177" s="107" t="s">
        <v>93</v>
      </c>
      <c r="F177" s="107" t="s">
        <v>11</v>
      </c>
    </row>
    <row r="178" spans="1:6" s="3" customFormat="1" ht="12.75">
      <c r="A178" s="107"/>
      <c r="F178" s="107"/>
    </row>
    <row r="179" spans="1:6" s="3" customFormat="1" ht="12.75">
      <c r="A179" s="107"/>
      <c r="F179" s="107"/>
    </row>
    <row r="180" spans="1:6" s="3" customFormat="1" ht="12.75">
      <c r="A180" s="107"/>
      <c r="F180" s="107"/>
    </row>
    <row r="181" spans="1:8" s="3" customFormat="1" ht="18.75">
      <c r="A181" s="176" t="s">
        <v>170</v>
      </c>
      <c r="B181" s="176"/>
      <c r="C181" s="176"/>
      <c r="D181" s="176"/>
      <c r="E181" s="176"/>
      <c r="F181" s="176"/>
      <c r="G181" s="176"/>
      <c r="H181" s="176"/>
    </row>
    <row r="182" spans="1:2" s="3" customFormat="1" ht="6.75" customHeight="1" thickBot="1">
      <c r="A182" s="11"/>
      <c r="B182" s="15"/>
    </row>
    <row r="183" spans="1:8" s="3" customFormat="1" ht="13.5" customHeight="1" thickBot="1">
      <c r="A183" s="11"/>
      <c r="B183" s="265" t="s">
        <v>46</v>
      </c>
      <c r="C183" s="265"/>
      <c r="D183" s="265"/>
      <c r="E183" s="265"/>
      <c r="F183" s="265"/>
      <c r="G183" s="265"/>
      <c r="H183" s="265"/>
    </row>
    <row r="184" spans="1:8" s="3" customFormat="1" ht="21.75" thickBot="1">
      <c r="A184" s="107"/>
      <c r="B184" s="30" t="s">
        <v>25</v>
      </c>
      <c r="C184" s="30" t="s">
        <v>34</v>
      </c>
      <c r="D184" s="30" t="s">
        <v>26</v>
      </c>
      <c r="E184" s="30" t="s">
        <v>28</v>
      </c>
      <c r="F184" s="30" t="s">
        <v>29</v>
      </c>
      <c r="G184" s="30" t="s">
        <v>30</v>
      </c>
      <c r="H184" s="30" t="s">
        <v>0</v>
      </c>
    </row>
    <row r="185" spans="1:8" s="3" customFormat="1" ht="12.75" customHeight="1">
      <c r="A185" s="97" t="s">
        <v>12</v>
      </c>
      <c r="B185" s="39">
        <v>68</v>
      </c>
      <c r="C185" s="39">
        <v>341</v>
      </c>
      <c r="D185" s="39">
        <v>7</v>
      </c>
      <c r="E185" s="39">
        <v>35</v>
      </c>
      <c r="F185" s="39">
        <v>88</v>
      </c>
      <c r="G185" s="155">
        <v>70</v>
      </c>
      <c r="H185" s="156">
        <f aca="true" t="shared" si="24" ref="H185:H196">SUM(B185:G185)</f>
        <v>609</v>
      </c>
    </row>
    <row r="186" spans="1:8" s="3" customFormat="1" ht="12.75" customHeight="1">
      <c r="A186" s="101" t="s">
        <v>13</v>
      </c>
      <c r="B186" s="35">
        <v>93</v>
      </c>
      <c r="C186" s="35">
        <v>391</v>
      </c>
      <c r="D186" s="35">
        <v>13</v>
      </c>
      <c r="E186" s="35">
        <v>75</v>
      </c>
      <c r="F186" s="35">
        <v>132</v>
      </c>
      <c r="G186" s="157">
        <v>77</v>
      </c>
      <c r="H186" s="24">
        <f t="shared" si="24"/>
        <v>781</v>
      </c>
    </row>
    <row r="187" spans="1:8" s="3" customFormat="1" ht="12.75" customHeight="1">
      <c r="A187" s="101" t="s">
        <v>14</v>
      </c>
      <c r="B187" s="35">
        <v>80</v>
      </c>
      <c r="C187" s="35">
        <v>441</v>
      </c>
      <c r="D187" s="35">
        <v>14</v>
      </c>
      <c r="E187" s="35">
        <v>71</v>
      </c>
      <c r="F187" s="35">
        <v>139</v>
      </c>
      <c r="G187" s="157">
        <v>59</v>
      </c>
      <c r="H187" s="24">
        <f t="shared" si="24"/>
        <v>804</v>
      </c>
    </row>
    <row r="188" spans="1:8" s="3" customFormat="1" ht="12.75" customHeight="1">
      <c r="A188" s="101" t="s">
        <v>15</v>
      </c>
      <c r="B188" s="35">
        <v>89</v>
      </c>
      <c r="C188" s="35">
        <v>500</v>
      </c>
      <c r="D188" s="35">
        <v>16</v>
      </c>
      <c r="E188" s="35">
        <v>96</v>
      </c>
      <c r="F188" s="35">
        <v>122</v>
      </c>
      <c r="G188" s="157">
        <v>80</v>
      </c>
      <c r="H188" s="24">
        <f t="shared" si="24"/>
        <v>903</v>
      </c>
    </row>
    <row r="189" spans="1:8" s="3" customFormat="1" ht="12.75" customHeight="1">
      <c r="A189" s="101" t="s">
        <v>16</v>
      </c>
      <c r="B189" s="35">
        <v>64</v>
      </c>
      <c r="C189" s="35">
        <v>469</v>
      </c>
      <c r="D189" s="35">
        <v>15</v>
      </c>
      <c r="E189" s="35">
        <v>81</v>
      </c>
      <c r="F189" s="35">
        <v>134</v>
      </c>
      <c r="G189" s="157">
        <v>66</v>
      </c>
      <c r="H189" s="24">
        <f t="shared" si="24"/>
        <v>829</v>
      </c>
    </row>
    <row r="190" spans="1:8" s="3" customFormat="1" ht="12.75" customHeight="1">
      <c r="A190" s="101" t="s">
        <v>17</v>
      </c>
      <c r="B190" s="35">
        <v>88</v>
      </c>
      <c r="C190" s="35">
        <v>498</v>
      </c>
      <c r="D190" s="35">
        <v>14</v>
      </c>
      <c r="E190" s="35">
        <v>91</v>
      </c>
      <c r="F190" s="35">
        <v>152</v>
      </c>
      <c r="G190" s="157">
        <v>99</v>
      </c>
      <c r="H190" s="24">
        <f t="shared" si="24"/>
        <v>942</v>
      </c>
    </row>
    <row r="191" spans="1:8" s="3" customFormat="1" ht="12.75" customHeight="1">
      <c r="A191" s="101" t="s">
        <v>18</v>
      </c>
      <c r="B191" s="35">
        <v>87</v>
      </c>
      <c r="C191" s="35">
        <v>509</v>
      </c>
      <c r="D191" s="35">
        <v>22</v>
      </c>
      <c r="E191" s="35">
        <v>91</v>
      </c>
      <c r="F191" s="35">
        <v>140</v>
      </c>
      <c r="G191" s="157">
        <v>82</v>
      </c>
      <c r="H191" s="24">
        <f t="shared" si="24"/>
        <v>931</v>
      </c>
    </row>
    <row r="192" spans="1:8" s="3" customFormat="1" ht="12.75" customHeight="1">
      <c r="A192" s="101" t="s">
        <v>19</v>
      </c>
      <c r="B192" s="35">
        <v>71</v>
      </c>
      <c r="C192" s="35">
        <v>446</v>
      </c>
      <c r="D192" s="35">
        <v>11</v>
      </c>
      <c r="E192" s="35">
        <v>90</v>
      </c>
      <c r="F192" s="35">
        <v>174</v>
      </c>
      <c r="G192" s="157">
        <v>120</v>
      </c>
      <c r="H192" s="24">
        <f t="shared" si="24"/>
        <v>912</v>
      </c>
    </row>
    <row r="193" spans="1:8" s="3" customFormat="1" ht="12.75" customHeight="1">
      <c r="A193" s="101" t="s">
        <v>20</v>
      </c>
      <c r="B193" s="35">
        <v>82</v>
      </c>
      <c r="C193" s="35">
        <v>527</v>
      </c>
      <c r="D193" s="35">
        <v>14</v>
      </c>
      <c r="E193" s="35">
        <v>83</v>
      </c>
      <c r="F193" s="35">
        <v>192</v>
      </c>
      <c r="G193" s="157">
        <v>111</v>
      </c>
      <c r="H193" s="24">
        <f t="shared" si="24"/>
        <v>1009</v>
      </c>
    </row>
    <row r="194" spans="1:8" s="3" customFormat="1" ht="12.75" customHeight="1">
      <c r="A194" s="101" t="s">
        <v>21</v>
      </c>
      <c r="B194" s="35">
        <v>74</v>
      </c>
      <c r="C194" s="35">
        <v>495</v>
      </c>
      <c r="D194" s="35">
        <v>17</v>
      </c>
      <c r="E194" s="35">
        <v>106</v>
      </c>
      <c r="F194" s="35">
        <v>208</v>
      </c>
      <c r="G194" s="157">
        <v>149</v>
      </c>
      <c r="H194" s="24">
        <f t="shared" si="24"/>
        <v>1049</v>
      </c>
    </row>
    <row r="195" spans="1:8" s="3" customFormat="1" ht="12.75" customHeight="1">
      <c r="A195" s="101" t="s">
        <v>22</v>
      </c>
      <c r="B195" s="35">
        <v>97</v>
      </c>
      <c r="C195" s="35">
        <v>539</v>
      </c>
      <c r="D195" s="35">
        <v>12</v>
      </c>
      <c r="E195" s="35">
        <v>124</v>
      </c>
      <c r="F195" s="35">
        <v>198</v>
      </c>
      <c r="G195" s="157">
        <v>138</v>
      </c>
      <c r="H195" s="24">
        <f t="shared" si="24"/>
        <v>1108</v>
      </c>
    </row>
    <row r="196" spans="1:8" s="3" customFormat="1" ht="12.75" customHeight="1" thickBot="1">
      <c r="A196" s="98" t="s">
        <v>23</v>
      </c>
      <c r="B196" s="36">
        <v>153</v>
      </c>
      <c r="C196" s="36">
        <v>1280</v>
      </c>
      <c r="D196" s="36">
        <v>39</v>
      </c>
      <c r="E196" s="36">
        <v>257</v>
      </c>
      <c r="F196" s="36">
        <v>446</v>
      </c>
      <c r="G196" s="158">
        <v>274</v>
      </c>
      <c r="H196" s="159">
        <f t="shared" si="24"/>
        <v>2449</v>
      </c>
    </row>
    <row r="197" spans="1:8" s="3" customFormat="1" ht="12.75" customHeight="1" thickBot="1">
      <c r="A197" s="30" t="s">
        <v>59</v>
      </c>
      <c r="B197" s="52">
        <f aca="true" t="shared" si="25" ref="B197:H197">SUM(B185:B196)</f>
        <v>1046</v>
      </c>
      <c r="C197" s="52">
        <f t="shared" si="25"/>
        <v>6436</v>
      </c>
      <c r="D197" s="52">
        <f t="shared" si="25"/>
        <v>194</v>
      </c>
      <c r="E197" s="52">
        <f t="shared" si="25"/>
        <v>1200</v>
      </c>
      <c r="F197" s="52">
        <f t="shared" si="25"/>
        <v>2125</v>
      </c>
      <c r="G197" s="52">
        <f t="shared" si="25"/>
        <v>1325</v>
      </c>
      <c r="H197" s="52">
        <f t="shared" si="25"/>
        <v>12326</v>
      </c>
    </row>
    <row r="198" spans="1:8" s="3" customFormat="1" ht="12.75" customHeight="1">
      <c r="A198" s="97" t="s">
        <v>12</v>
      </c>
      <c r="B198" s="39">
        <v>41</v>
      </c>
      <c r="C198" s="39">
        <v>156</v>
      </c>
      <c r="D198" s="39">
        <v>4</v>
      </c>
      <c r="E198" s="39">
        <v>32</v>
      </c>
      <c r="F198" s="39">
        <v>49</v>
      </c>
      <c r="G198" s="155">
        <v>18</v>
      </c>
      <c r="H198" s="156">
        <f aca="true" t="shared" si="26" ref="H198:H209">SUM(B198:G198)</f>
        <v>300</v>
      </c>
    </row>
    <row r="199" spans="1:8" s="3" customFormat="1" ht="12.75" customHeight="1">
      <c r="A199" s="101" t="s">
        <v>13</v>
      </c>
      <c r="B199" s="35">
        <v>105</v>
      </c>
      <c r="C199" s="35">
        <v>551</v>
      </c>
      <c r="D199" s="35">
        <v>20</v>
      </c>
      <c r="E199" s="35">
        <v>95</v>
      </c>
      <c r="F199" s="35">
        <v>189</v>
      </c>
      <c r="G199" s="157">
        <v>118</v>
      </c>
      <c r="H199" s="24">
        <f t="shared" si="26"/>
        <v>1078</v>
      </c>
    </row>
    <row r="200" spans="1:8" s="3" customFormat="1" ht="12.75" customHeight="1">
      <c r="A200" s="101" t="s">
        <v>14</v>
      </c>
      <c r="B200" s="35">
        <v>102</v>
      </c>
      <c r="C200" s="35">
        <v>578</v>
      </c>
      <c r="D200" s="35">
        <v>15</v>
      </c>
      <c r="E200" s="35">
        <v>77</v>
      </c>
      <c r="F200" s="35">
        <v>169</v>
      </c>
      <c r="G200" s="157">
        <v>102</v>
      </c>
      <c r="H200" s="24">
        <f t="shared" si="26"/>
        <v>1043</v>
      </c>
    </row>
    <row r="201" spans="1:8" s="3" customFormat="1" ht="12.75" customHeight="1">
      <c r="A201" s="101" t="s">
        <v>15</v>
      </c>
      <c r="B201" s="35">
        <v>86</v>
      </c>
      <c r="C201" s="35">
        <v>587</v>
      </c>
      <c r="D201" s="35">
        <v>7</v>
      </c>
      <c r="E201" s="35">
        <v>98</v>
      </c>
      <c r="F201" s="35">
        <v>194</v>
      </c>
      <c r="G201" s="157">
        <v>142</v>
      </c>
      <c r="H201" s="24">
        <f t="shared" si="26"/>
        <v>1114</v>
      </c>
    </row>
    <row r="202" spans="1:8" s="3" customFormat="1" ht="12.75" customHeight="1">
      <c r="A202" s="101" t="s">
        <v>16</v>
      </c>
      <c r="B202" s="35">
        <v>82</v>
      </c>
      <c r="C202" s="35">
        <v>647</v>
      </c>
      <c r="D202" s="35">
        <v>9</v>
      </c>
      <c r="E202" s="35">
        <v>111</v>
      </c>
      <c r="F202" s="35">
        <v>190</v>
      </c>
      <c r="G202" s="157">
        <v>133</v>
      </c>
      <c r="H202" s="24">
        <f t="shared" si="26"/>
        <v>1172</v>
      </c>
    </row>
    <row r="203" spans="1:8" s="3" customFormat="1" ht="12.75" customHeight="1">
      <c r="A203" s="101" t="s">
        <v>17</v>
      </c>
      <c r="B203" s="35">
        <v>96</v>
      </c>
      <c r="C203" s="35">
        <v>932</v>
      </c>
      <c r="D203" s="35">
        <v>10</v>
      </c>
      <c r="E203" s="35">
        <v>168</v>
      </c>
      <c r="F203" s="35">
        <v>335</v>
      </c>
      <c r="G203" s="157">
        <v>203</v>
      </c>
      <c r="H203" s="24">
        <f t="shared" si="26"/>
        <v>1744</v>
      </c>
    </row>
    <row r="204" spans="1:8" s="3" customFormat="1" ht="12.75" customHeight="1">
      <c r="A204" s="101" t="s">
        <v>18</v>
      </c>
      <c r="B204" s="35">
        <v>67</v>
      </c>
      <c r="C204" s="35">
        <v>345</v>
      </c>
      <c r="D204" s="35">
        <v>7</v>
      </c>
      <c r="E204" s="35">
        <v>73</v>
      </c>
      <c r="F204" s="35">
        <v>67</v>
      </c>
      <c r="G204" s="157">
        <v>28</v>
      </c>
      <c r="H204" s="24">
        <f t="shared" si="26"/>
        <v>587</v>
      </c>
    </row>
    <row r="205" spans="1:8" s="3" customFormat="1" ht="12.75" customHeight="1">
      <c r="A205" s="101" t="s">
        <v>19</v>
      </c>
      <c r="B205" s="35">
        <v>69</v>
      </c>
      <c r="C205" s="35">
        <v>501</v>
      </c>
      <c r="D205" s="35">
        <v>12</v>
      </c>
      <c r="E205" s="35">
        <v>101</v>
      </c>
      <c r="F205" s="35">
        <v>157</v>
      </c>
      <c r="G205" s="157">
        <v>109</v>
      </c>
      <c r="H205" s="24">
        <f t="shared" si="26"/>
        <v>949</v>
      </c>
    </row>
    <row r="206" spans="1:8" s="3" customFormat="1" ht="12.75" customHeight="1">
      <c r="A206" s="101" t="s">
        <v>20</v>
      </c>
      <c r="B206" s="35">
        <v>90</v>
      </c>
      <c r="C206" s="35">
        <v>602</v>
      </c>
      <c r="D206" s="35">
        <v>13</v>
      </c>
      <c r="E206" s="35">
        <v>126</v>
      </c>
      <c r="F206" s="35">
        <v>178</v>
      </c>
      <c r="G206" s="157">
        <v>129</v>
      </c>
      <c r="H206" s="24">
        <f t="shared" si="26"/>
        <v>1138</v>
      </c>
    </row>
    <row r="207" spans="1:8" s="3" customFormat="1" ht="12.75" customHeight="1">
      <c r="A207" s="101" t="s">
        <v>21</v>
      </c>
      <c r="B207" s="35">
        <v>85</v>
      </c>
      <c r="C207" s="35">
        <v>564</v>
      </c>
      <c r="D207" s="35">
        <v>10</v>
      </c>
      <c r="E207" s="35">
        <v>109</v>
      </c>
      <c r="F207" s="35">
        <v>185</v>
      </c>
      <c r="G207" s="157">
        <v>133</v>
      </c>
      <c r="H207" s="24">
        <f t="shared" si="26"/>
        <v>1086</v>
      </c>
    </row>
    <row r="208" spans="1:8" s="3" customFormat="1" ht="12.75" customHeight="1">
      <c r="A208" s="101" t="s">
        <v>22</v>
      </c>
      <c r="B208" s="35">
        <v>87</v>
      </c>
      <c r="C208" s="35">
        <v>606</v>
      </c>
      <c r="D208" s="35">
        <v>11</v>
      </c>
      <c r="E208" s="35">
        <v>98</v>
      </c>
      <c r="F208" s="35">
        <v>176</v>
      </c>
      <c r="G208" s="157">
        <v>100</v>
      </c>
      <c r="H208" s="24">
        <f t="shared" si="26"/>
        <v>1078</v>
      </c>
    </row>
    <row r="209" spans="1:8" s="3" customFormat="1" ht="12.75" customHeight="1" thickBot="1">
      <c r="A209" s="98" t="s">
        <v>23</v>
      </c>
      <c r="B209" s="36">
        <v>119</v>
      </c>
      <c r="C209" s="36">
        <v>897</v>
      </c>
      <c r="D209" s="36">
        <v>17</v>
      </c>
      <c r="E209" s="36">
        <v>145</v>
      </c>
      <c r="F209" s="36">
        <v>292</v>
      </c>
      <c r="G209" s="158">
        <v>158</v>
      </c>
      <c r="H209" s="159">
        <f t="shared" si="26"/>
        <v>1628</v>
      </c>
    </row>
    <row r="210" spans="1:8" s="3" customFormat="1" ht="12.75" customHeight="1" thickBot="1">
      <c r="A210" s="30" t="s">
        <v>24</v>
      </c>
      <c r="B210" s="52">
        <f>SUM(B198:B209)</f>
        <v>1029</v>
      </c>
      <c r="C210" s="52">
        <f>SUM(C198:C209)</f>
        <v>6966</v>
      </c>
      <c r="D210" s="52">
        <f>SUM(D198:D209)</f>
        <v>135</v>
      </c>
      <c r="E210" s="52">
        <f>SUM(E198:E209)</f>
        <v>1233</v>
      </c>
      <c r="F210" s="52"/>
      <c r="G210" s="52">
        <f>SUM(G198:G209)</f>
        <v>1373</v>
      </c>
      <c r="H210" s="52">
        <f>SUM(H198:H209)</f>
        <v>12917</v>
      </c>
    </row>
    <row r="211" spans="1:8" s="3" customFormat="1" ht="12.75" customHeight="1">
      <c r="A211" s="97" t="s">
        <v>12</v>
      </c>
      <c r="B211" s="39">
        <f aca="true" t="shared" si="27" ref="B211:H223">B5+B18+B31+B44+B65+B78+B91+B104+B125+B138+B151+B164+B185+B198</f>
        <v>838</v>
      </c>
      <c r="C211" s="39">
        <f t="shared" si="27"/>
        <v>4911</v>
      </c>
      <c r="D211" s="39">
        <f t="shared" si="27"/>
        <v>161</v>
      </c>
      <c r="E211" s="39">
        <f t="shared" si="27"/>
        <v>826</v>
      </c>
      <c r="F211" s="39">
        <f t="shared" si="27"/>
        <v>1469</v>
      </c>
      <c r="G211" s="39">
        <f t="shared" si="27"/>
        <v>798</v>
      </c>
      <c r="H211" s="108">
        <f t="shared" si="27"/>
        <v>9003</v>
      </c>
    </row>
    <row r="212" spans="1:8" s="3" customFormat="1" ht="12.75" customHeight="1">
      <c r="A212" s="101" t="s">
        <v>13</v>
      </c>
      <c r="B212" s="35">
        <f t="shared" si="27"/>
        <v>1022</v>
      </c>
      <c r="C212" s="35">
        <f t="shared" si="27"/>
        <v>6874</v>
      </c>
      <c r="D212" s="35">
        <f t="shared" si="27"/>
        <v>243</v>
      </c>
      <c r="E212" s="35">
        <f t="shared" si="27"/>
        <v>1274</v>
      </c>
      <c r="F212" s="35">
        <f t="shared" si="27"/>
        <v>2070</v>
      </c>
      <c r="G212" s="35">
        <f t="shared" si="27"/>
        <v>1220</v>
      </c>
      <c r="H212" s="109">
        <f t="shared" si="27"/>
        <v>12703</v>
      </c>
    </row>
    <row r="213" spans="1:8" s="3" customFormat="1" ht="12.75" customHeight="1">
      <c r="A213" s="101" t="s">
        <v>14</v>
      </c>
      <c r="B213" s="35">
        <f t="shared" si="27"/>
        <v>972</v>
      </c>
      <c r="C213" s="35">
        <f t="shared" si="27"/>
        <v>7846</v>
      </c>
      <c r="D213" s="35">
        <f t="shared" si="27"/>
        <v>279</v>
      </c>
      <c r="E213" s="35">
        <f t="shared" si="27"/>
        <v>1711</v>
      </c>
      <c r="F213" s="35">
        <f t="shared" si="27"/>
        <v>2285</v>
      </c>
      <c r="G213" s="35">
        <f t="shared" si="27"/>
        <v>1275</v>
      </c>
      <c r="H213" s="109">
        <f t="shared" si="27"/>
        <v>14368</v>
      </c>
    </row>
    <row r="214" spans="1:8" s="3" customFormat="1" ht="12.75" customHeight="1">
      <c r="A214" s="101" t="s">
        <v>15</v>
      </c>
      <c r="B214" s="35">
        <f t="shared" si="27"/>
        <v>984</v>
      </c>
      <c r="C214" s="35">
        <f t="shared" si="27"/>
        <v>7181</v>
      </c>
      <c r="D214" s="35">
        <f t="shared" si="27"/>
        <v>250</v>
      </c>
      <c r="E214" s="35">
        <f t="shared" si="27"/>
        <v>1607</v>
      </c>
      <c r="F214" s="35">
        <f t="shared" si="27"/>
        <v>2271</v>
      </c>
      <c r="G214" s="35">
        <f t="shared" si="27"/>
        <v>1332</v>
      </c>
      <c r="H214" s="109">
        <f t="shared" si="27"/>
        <v>13625</v>
      </c>
    </row>
    <row r="215" spans="1:8" s="3" customFormat="1" ht="12.75" customHeight="1">
      <c r="A215" s="101" t="s">
        <v>16</v>
      </c>
      <c r="B215" s="35">
        <f t="shared" si="27"/>
        <v>1014</v>
      </c>
      <c r="C215" s="35">
        <f t="shared" si="27"/>
        <v>8314</v>
      </c>
      <c r="D215" s="35">
        <f t="shared" si="27"/>
        <v>325</v>
      </c>
      <c r="E215" s="35">
        <f t="shared" si="27"/>
        <v>1922</v>
      </c>
      <c r="F215" s="35">
        <f t="shared" si="27"/>
        <v>2588</v>
      </c>
      <c r="G215" s="35">
        <f t="shared" si="27"/>
        <v>1531</v>
      </c>
      <c r="H215" s="109">
        <f t="shared" si="27"/>
        <v>15694</v>
      </c>
    </row>
    <row r="216" spans="1:8" s="3" customFormat="1" ht="12.75" customHeight="1">
      <c r="A216" s="101" t="s">
        <v>17</v>
      </c>
      <c r="B216" s="35">
        <f t="shared" si="27"/>
        <v>1115</v>
      </c>
      <c r="C216" s="35">
        <f t="shared" si="27"/>
        <v>8409</v>
      </c>
      <c r="D216" s="35">
        <f t="shared" si="27"/>
        <v>346</v>
      </c>
      <c r="E216" s="35">
        <f t="shared" si="27"/>
        <v>1969</v>
      </c>
      <c r="F216" s="35">
        <f t="shared" si="27"/>
        <v>2554</v>
      </c>
      <c r="G216" s="35">
        <f t="shared" si="27"/>
        <v>1603</v>
      </c>
      <c r="H216" s="109">
        <f t="shared" si="27"/>
        <v>15996</v>
      </c>
    </row>
    <row r="217" spans="1:8" s="3" customFormat="1" ht="12.75" customHeight="1">
      <c r="A217" s="101" t="s">
        <v>18</v>
      </c>
      <c r="B217" s="35">
        <f t="shared" si="27"/>
        <v>951</v>
      </c>
      <c r="C217" s="35">
        <f t="shared" si="27"/>
        <v>7300</v>
      </c>
      <c r="D217" s="35">
        <f t="shared" si="27"/>
        <v>310</v>
      </c>
      <c r="E217" s="35">
        <f t="shared" si="27"/>
        <v>1905</v>
      </c>
      <c r="F217" s="35">
        <f t="shared" si="27"/>
        <v>2366</v>
      </c>
      <c r="G217" s="35">
        <f t="shared" si="27"/>
        <v>1448</v>
      </c>
      <c r="H217" s="109">
        <f t="shared" si="27"/>
        <v>14280</v>
      </c>
    </row>
    <row r="218" spans="1:8" s="3" customFormat="1" ht="12.75" customHeight="1">
      <c r="A218" s="101" t="s">
        <v>19</v>
      </c>
      <c r="B218" s="35">
        <f t="shared" si="27"/>
        <v>842</v>
      </c>
      <c r="C218" s="35">
        <f t="shared" si="27"/>
        <v>7291</v>
      </c>
      <c r="D218" s="35">
        <f t="shared" si="27"/>
        <v>318</v>
      </c>
      <c r="E218" s="35">
        <f t="shared" si="27"/>
        <v>1822</v>
      </c>
      <c r="F218" s="35">
        <f t="shared" si="27"/>
        <v>2619</v>
      </c>
      <c r="G218" s="35">
        <f t="shared" si="27"/>
        <v>1599</v>
      </c>
      <c r="H218" s="109">
        <f t="shared" si="27"/>
        <v>14491</v>
      </c>
    </row>
    <row r="219" spans="1:8" s="3" customFormat="1" ht="12.75" customHeight="1">
      <c r="A219" s="101" t="s">
        <v>20</v>
      </c>
      <c r="B219" s="35">
        <f t="shared" si="27"/>
        <v>955</v>
      </c>
      <c r="C219" s="35">
        <f t="shared" si="27"/>
        <v>7532</v>
      </c>
      <c r="D219" s="35">
        <f t="shared" si="27"/>
        <v>299</v>
      </c>
      <c r="E219" s="35">
        <f t="shared" si="27"/>
        <v>1760</v>
      </c>
      <c r="F219" s="35">
        <f t="shared" si="27"/>
        <v>2654</v>
      </c>
      <c r="G219" s="35">
        <f t="shared" si="27"/>
        <v>1588</v>
      </c>
      <c r="H219" s="109">
        <f t="shared" si="27"/>
        <v>14788</v>
      </c>
    </row>
    <row r="220" spans="1:8" s="3" customFormat="1" ht="12.75" customHeight="1">
      <c r="A220" s="101" t="s">
        <v>21</v>
      </c>
      <c r="B220" s="35">
        <f t="shared" si="27"/>
        <v>920</v>
      </c>
      <c r="C220" s="35">
        <f t="shared" si="27"/>
        <v>7591</v>
      </c>
      <c r="D220" s="35">
        <f t="shared" si="27"/>
        <v>305</v>
      </c>
      <c r="E220" s="35">
        <f t="shared" si="27"/>
        <v>1652</v>
      </c>
      <c r="F220" s="35">
        <f t="shared" si="27"/>
        <v>2713</v>
      </c>
      <c r="G220" s="35">
        <f t="shared" si="27"/>
        <v>1644</v>
      </c>
      <c r="H220" s="109">
        <f t="shared" si="27"/>
        <v>14825</v>
      </c>
    </row>
    <row r="221" spans="1:8" s="3" customFormat="1" ht="12.75" customHeight="1">
      <c r="A221" s="101" t="s">
        <v>22</v>
      </c>
      <c r="B221" s="35">
        <f t="shared" si="27"/>
        <v>858</v>
      </c>
      <c r="C221" s="35">
        <f t="shared" si="27"/>
        <v>6862</v>
      </c>
      <c r="D221" s="35">
        <f t="shared" si="27"/>
        <v>242</v>
      </c>
      <c r="E221" s="35">
        <f t="shared" si="27"/>
        <v>1323</v>
      </c>
      <c r="F221" s="35">
        <f t="shared" si="27"/>
        <v>2125</v>
      </c>
      <c r="G221" s="35">
        <f t="shared" si="27"/>
        <v>1307</v>
      </c>
      <c r="H221" s="109">
        <f t="shared" si="27"/>
        <v>12717</v>
      </c>
    </row>
    <row r="222" spans="1:8" s="3" customFormat="1" ht="12.75" customHeight="1" thickBot="1">
      <c r="A222" s="98" t="s">
        <v>23</v>
      </c>
      <c r="B222" s="50">
        <f t="shared" si="27"/>
        <v>1508</v>
      </c>
      <c r="C222" s="50">
        <f t="shared" si="27"/>
        <v>15429</v>
      </c>
      <c r="D222" s="50">
        <f t="shared" si="27"/>
        <v>628</v>
      </c>
      <c r="E222" s="50">
        <f t="shared" si="27"/>
        <v>3532</v>
      </c>
      <c r="F222" s="50">
        <f t="shared" si="27"/>
        <v>5132</v>
      </c>
      <c r="G222" s="50">
        <f t="shared" si="27"/>
        <v>2790</v>
      </c>
      <c r="H222" s="110">
        <f t="shared" si="27"/>
        <v>29019</v>
      </c>
    </row>
    <row r="223" spans="1:8" s="3" customFormat="1" ht="12.75" customHeight="1" thickBot="1">
      <c r="A223" s="30" t="s">
        <v>60</v>
      </c>
      <c r="B223" s="52">
        <f t="shared" si="27"/>
        <v>11979</v>
      </c>
      <c r="C223" s="52">
        <f t="shared" si="27"/>
        <v>95540</v>
      </c>
      <c r="D223" s="52">
        <f t="shared" si="27"/>
        <v>3706</v>
      </c>
      <c r="E223" s="52">
        <f t="shared" si="27"/>
        <v>21303</v>
      </c>
      <c r="F223" s="52">
        <f t="shared" si="27"/>
        <v>28665</v>
      </c>
      <c r="G223" s="52">
        <f t="shared" si="27"/>
        <v>18135</v>
      </c>
      <c r="H223" s="52">
        <f t="shared" si="27"/>
        <v>181509</v>
      </c>
    </row>
    <row r="224" spans="1:6" s="3" customFormat="1" ht="12.75">
      <c r="A224" s="107" t="s">
        <v>93</v>
      </c>
      <c r="F224" s="107" t="s">
        <v>11</v>
      </c>
    </row>
  </sheetData>
  <sheetProtection/>
  <mergeCells count="5">
    <mergeCell ref="B3:H3"/>
    <mergeCell ref="B63:H63"/>
    <mergeCell ref="B123:H123"/>
    <mergeCell ref="B183:H183"/>
    <mergeCell ref="A61:H61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hamamy1</cp:lastModifiedBy>
  <cp:lastPrinted>2012-10-08T08:03:40Z</cp:lastPrinted>
  <dcterms:created xsi:type="dcterms:W3CDTF">2006-02-24T09:38:25Z</dcterms:created>
  <dcterms:modified xsi:type="dcterms:W3CDTF">2012-10-08T08:04:14Z</dcterms:modified>
  <cp:category/>
  <cp:version/>
  <cp:contentType/>
  <cp:contentStatus/>
</cp:coreProperties>
</file>